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5195" windowHeight="9720" firstSheet="12" activeTab="23"/>
  </bookViews>
  <sheets>
    <sheet name="Head" sheetId="1" r:id="rId1"/>
    <sheet name="Heads%" sheetId="2" r:id="rId2"/>
    <sheet name="Hsld" sheetId="3" r:id="rId3"/>
    <sheet name="Hsld%" sheetId="4" r:id="rId4"/>
    <sheet name="Com" sheetId="5" r:id="rId5"/>
    <sheet name="Com%" sheetId="6" r:id="rId6"/>
    <sheet name="Neigh" sheetId="7" r:id="rId7"/>
    <sheet name="Neigh%" sheetId="8" r:id="rId8"/>
    <sheet name="Mort" sheetId="9" r:id="rId9"/>
    <sheet name="Mort%" sheetId="10" r:id="rId10"/>
    <sheet name="Value" sheetId="11" r:id="rId11"/>
    <sheet name="Value%" sheetId="12" r:id="rId12"/>
    <sheet name="Cost" sheetId="13" r:id="rId13"/>
    <sheet name="Cost%" sheetId="14" r:id="rId14"/>
    <sheet name="PMeas" sheetId="15" r:id="rId15"/>
    <sheet name="PMeas%" sheetId="16" r:id="rId16"/>
    <sheet name="Def" sheetId="17" r:id="rId17"/>
    <sheet name="Def%" sheetId="18" r:id="rId18"/>
    <sheet name="Over" sheetId="19" r:id="rId19"/>
    <sheet name="Over%" sheetId="20" r:id="rId20"/>
    <sheet name="Ft2" sheetId="21" r:id="rId21"/>
    <sheet name="Ft2%" sheetId="22" r:id="rId22"/>
    <sheet name="Rms" sheetId="23" r:id="rId23"/>
    <sheet name="Rms%" sheetId="24" r:id="rId24"/>
    <sheet name="YrBlt" sheetId="25" r:id="rId25"/>
    <sheet name="YrBlt%" sheetId="26" r:id="rId26"/>
    <sheet name="StrTyp" sheetId="27" r:id="rId27"/>
    <sheet name="StrTyp%" sheetId="28" r:id="rId28"/>
    <sheet name="Stock" sheetId="29" r:id="rId29"/>
    <sheet name="Stock%" sheetId="30" r:id="rId30"/>
    <sheet name="Counts" sheetId="31" r:id="rId31"/>
    <sheet name="Working counts" sheetId="32" r:id="rId32"/>
    <sheet name="Percentages" sheetId="33" r:id="rId33"/>
    <sheet name="Scratch" sheetId="34" r:id="rId34"/>
  </sheets>
  <definedNames/>
  <calcPr fullCalcOnLoad="1"/>
</workbook>
</file>

<file path=xl/sharedStrings.xml><?xml version="1.0" encoding="utf-8"?>
<sst xmlns="http://schemas.openxmlformats.org/spreadsheetml/2006/main" count="6649" uniqueCount="409">
  <si>
    <t>Occupied</t>
  </si>
  <si>
    <t>Vacant</t>
  </si>
  <si>
    <t>1, detached</t>
  </si>
  <si>
    <t>1, attached</t>
  </si>
  <si>
    <t>2 to 4</t>
  </si>
  <si>
    <t>5 to 9</t>
  </si>
  <si>
    <t>10 to 19</t>
  </si>
  <si>
    <t>20 to 49</t>
  </si>
  <si>
    <t>50 or more</t>
  </si>
  <si>
    <t>Mobile Home/trailer</t>
  </si>
  <si>
    <t>2000-2004</t>
  </si>
  <si>
    <t>1995-1999</t>
  </si>
  <si>
    <t>1990-1994</t>
  </si>
  <si>
    <t>1985-1989</t>
  </si>
  <si>
    <t>1980-1984</t>
  </si>
  <si>
    <t>1975-1979</t>
  </si>
  <si>
    <t>1970-1974</t>
  </si>
  <si>
    <t>1960-1969</t>
  </si>
  <si>
    <t>1950-1959</t>
  </si>
  <si>
    <t>1940-1949</t>
  </si>
  <si>
    <t>1930-1939</t>
  </si>
  <si>
    <t>1920-1929</t>
  </si>
  <si>
    <t>1919 or earlier</t>
  </si>
  <si>
    <t>1  room</t>
  </si>
  <si>
    <t>2 rooms</t>
  </si>
  <si>
    <t>3 rooms</t>
  </si>
  <si>
    <t>4 rooms</t>
  </si>
  <si>
    <t>5 rooms</t>
  </si>
  <si>
    <t>6 rooms</t>
  </si>
  <si>
    <t>7 rooms</t>
  </si>
  <si>
    <t>8 rooms</t>
  </si>
  <si>
    <t>9 rooms</t>
  </si>
  <si>
    <t>10 rooms or more</t>
  </si>
  <si>
    <t>None</t>
  </si>
  <si>
    <t>4 or more</t>
  </si>
  <si>
    <t>Northeast</t>
  </si>
  <si>
    <t>Midwest</t>
  </si>
  <si>
    <t>South</t>
  </si>
  <si>
    <t>West</t>
  </si>
  <si>
    <t>Inside metro area</t>
  </si>
  <si>
    <t xml:space="preserve">   In central cities</t>
  </si>
  <si>
    <t xml:space="preserve">   In suburbs</t>
  </si>
  <si>
    <t>Outside metro area</t>
  </si>
  <si>
    <t>With complete kitchen</t>
  </si>
  <si>
    <t>Lacking complete kitchen facilities</t>
  </si>
  <si>
    <t>With all plumbing facilities</t>
  </si>
  <si>
    <t>Lack some plumbing</t>
  </si>
  <si>
    <t>Public/private water</t>
  </si>
  <si>
    <t>Well</t>
  </si>
  <si>
    <t>Other water source</t>
  </si>
  <si>
    <t>Public sewer</t>
  </si>
  <si>
    <t>Septic tank/cesspool</t>
  </si>
  <si>
    <t>Other</t>
  </si>
  <si>
    <t xml:space="preserve">  Plumbing</t>
  </si>
  <si>
    <t xml:space="preserve">  Heating</t>
  </si>
  <si>
    <t xml:space="preserve">  Electric</t>
  </si>
  <si>
    <t xml:space="preserve">  Upkeep</t>
  </si>
  <si>
    <t xml:space="preserve">  Hallways</t>
  </si>
  <si>
    <t xml:space="preserve">  Kitchen</t>
  </si>
  <si>
    <t>Under 65</t>
  </si>
  <si>
    <t>65  to 74</t>
  </si>
  <si>
    <t>75 or older</t>
  </si>
  <si>
    <t xml:space="preserve">Children  </t>
  </si>
  <si>
    <t>Some</t>
  </si>
  <si>
    <t xml:space="preserve">Race/Origin </t>
  </si>
  <si>
    <t>White</t>
  </si>
  <si>
    <t xml:space="preserve">  Hispanic</t>
  </si>
  <si>
    <t xml:space="preserve">  Non-Hispanic</t>
  </si>
  <si>
    <t>Black</t>
  </si>
  <si>
    <t>American Indian, Eskimo, Aleut</t>
  </si>
  <si>
    <t>Two or more races</t>
  </si>
  <si>
    <t>Total Hispanics</t>
  </si>
  <si>
    <t>Owner occupied</t>
  </si>
  <si>
    <t xml:space="preserve">  Percent own occupied</t>
  </si>
  <si>
    <t>Renter occupied</t>
  </si>
  <si>
    <t>Renter Monthly Housing Costs</t>
  </si>
  <si>
    <t>No cash rent</t>
  </si>
  <si>
    <t>2005-2009</t>
  </si>
  <si>
    <t xml:space="preserve">Urban </t>
  </si>
  <si>
    <t>Rural</t>
  </si>
  <si>
    <t xml:space="preserve">Cooperatives </t>
  </si>
  <si>
    <t>Condominiums</t>
  </si>
  <si>
    <t>Urban/Rural Status of Occupied Units</t>
  </si>
  <si>
    <t>Physical Characteristics of Housing Structures</t>
  </si>
  <si>
    <t>Physical Characteristics of Housing Units</t>
  </si>
  <si>
    <t>Single family detached &amp; mobile homes</t>
  </si>
  <si>
    <t>Median</t>
  </si>
  <si>
    <t xml:space="preserve">    1/2 acre up to 1 acre</t>
  </si>
  <si>
    <t xml:space="preserve">    1 acre up to 5 acres</t>
  </si>
  <si>
    <t xml:space="preserve">    5 acres up to 10 acres</t>
  </si>
  <si>
    <t xml:space="preserve">    10 acres or more</t>
  </si>
  <si>
    <t>2 or more</t>
  </si>
  <si>
    <t>Housing Costs</t>
  </si>
  <si>
    <t>Median (excludes no cash rent)</t>
  </si>
  <si>
    <t>Housing Value and Finance</t>
  </si>
  <si>
    <t>$150,000 to $199,999</t>
  </si>
  <si>
    <t>Value of owner-occupied units</t>
  </si>
  <si>
    <t>Mortgage finance</t>
  </si>
  <si>
    <t xml:space="preserve">No mortgage </t>
  </si>
  <si>
    <t>Not reported</t>
  </si>
  <si>
    <t>Fixed-payment, self-amortizing</t>
  </si>
  <si>
    <t>Adjustable rate mortgage</t>
  </si>
  <si>
    <t>Adjustable term mortgage</t>
  </si>
  <si>
    <t>Graduated payment mortgage</t>
  </si>
  <si>
    <t>Balloon</t>
  </si>
  <si>
    <t>Type of Primary Mortgage</t>
  </si>
  <si>
    <t>Government Insurance or Guarantee</t>
  </si>
  <si>
    <t>FHA</t>
  </si>
  <si>
    <t>VA</t>
  </si>
  <si>
    <t>Rural Housing Service</t>
  </si>
  <si>
    <t>Don't know/Not reported</t>
  </si>
  <si>
    <t>When property acquired</t>
  </si>
  <si>
    <t>Placed later</t>
  </si>
  <si>
    <t>Primary mortgage placed</t>
  </si>
  <si>
    <t>Housing Problems</t>
  </si>
  <si>
    <t>Household Characteristics</t>
  </si>
  <si>
    <t>Household size</t>
  </si>
  <si>
    <t>1 person</t>
  </si>
  <si>
    <t>2 persons</t>
  </si>
  <si>
    <t>3 persons</t>
  </si>
  <si>
    <t>4 persons</t>
  </si>
  <si>
    <t>5 persons</t>
  </si>
  <si>
    <t>6 persons</t>
  </si>
  <si>
    <t>7 or more persons</t>
  </si>
  <si>
    <t>Household type</t>
  </si>
  <si>
    <t>Married-couple families, no nonrelatives</t>
  </si>
  <si>
    <t>I person household</t>
  </si>
  <si>
    <t>Other male householder</t>
  </si>
  <si>
    <t>Other female householder</t>
  </si>
  <si>
    <t>Persons per room</t>
  </si>
  <si>
    <t>0.50 or less</t>
  </si>
  <si>
    <t>0.51 to 1.00</t>
  </si>
  <si>
    <t>1.01 to 1.50</t>
  </si>
  <si>
    <t>1.51 or more</t>
  </si>
  <si>
    <t xml:space="preserve">Age of Householder </t>
  </si>
  <si>
    <t>Median age</t>
  </si>
  <si>
    <t>Not reported/don't know</t>
  </si>
  <si>
    <t>Asian &amp; Pacific Islander</t>
  </si>
  <si>
    <t>5 or more</t>
  </si>
  <si>
    <t>1939 or earlier</t>
  </si>
  <si>
    <t>Boundary of first two rows is April 1, 1970</t>
  </si>
  <si>
    <t>7 or more rooms</t>
  </si>
  <si>
    <t>FHA, VA, FmHA</t>
  </si>
  <si>
    <t>$350 or more</t>
  </si>
  <si>
    <t>65 or older</t>
  </si>
  <si>
    <t>Total Housing Units</t>
  </si>
  <si>
    <t>Year Around Housing Units</t>
  </si>
  <si>
    <t>Seasonal Units</t>
  </si>
  <si>
    <t>CHECK</t>
  </si>
  <si>
    <t>Region -- all units</t>
  </si>
  <si>
    <t>Metro Status -- all units</t>
  </si>
  <si>
    <t>Units in Structure -- Year-around units</t>
  </si>
  <si>
    <t>Year Built -- year-around units</t>
  </si>
  <si>
    <t>Rooms -- year-around units</t>
  </si>
  <si>
    <t xml:space="preserve">Bedrooms -- year-around units </t>
  </si>
  <si>
    <t>Bathrooms -- year-around units</t>
  </si>
  <si>
    <t>Square Footage &amp; Acrage -- year-around units</t>
  </si>
  <si>
    <t>Lots of 1-unit Structures -- year-around units</t>
  </si>
  <si>
    <t>Occupancy Status -- year-around units</t>
  </si>
  <si>
    <t>Cooperatives &amp; Condominiums -- year-around units</t>
  </si>
  <si>
    <t xml:space="preserve">    Less than 500</t>
  </si>
  <si>
    <t xml:space="preserve">    500 to 749</t>
  </si>
  <si>
    <t xml:space="preserve">    750 to 999</t>
  </si>
  <si>
    <t xml:space="preserve">    1,000 to 1,499</t>
  </si>
  <si>
    <t xml:space="preserve">    1,500 to 1,999</t>
  </si>
  <si>
    <t xml:space="preserve">    2,000 to 2,499</t>
  </si>
  <si>
    <t xml:space="preserve">    2,500 to 2,999</t>
  </si>
  <si>
    <t xml:space="preserve">    3,000 to 3,999</t>
  </si>
  <si>
    <t xml:space="preserve">    4,000 or more</t>
  </si>
  <si>
    <t xml:space="preserve">    Less than 1/8 acre</t>
  </si>
  <si>
    <t xml:space="preserve">    1/8 up to 1/4 acre</t>
  </si>
  <si>
    <t xml:space="preserve">    14 up to 1/2 acre</t>
  </si>
  <si>
    <t>Less than $100</t>
  </si>
  <si>
    <t>$100 to $199</t>
  </si>
  <si>
    <t>$200 to 249</t>
  </si>
  <si>
    <t>$250 to $299</t>
  </si>
  <si>
    <t>$300 to $349</t>
  </si>
  <si>
    <t>$350 to $399</t>
  </si>
  <si>
    <t>$500 to $599</t>
  </si>
  <si>
    <t>$600 to $699</t>
  </si>
  <si>
    <t>$700 to $799</t>
  </si>
  <si>
    <t>$800 to $999</t>
  </si>
  <si>
    <t>$1,000 to $1,249</t>
  </si>
  <si>
    <t>$1,250 to $1,499</t>
  </si>
  <si>
    <t>$400 to $449</t>
  </si>
  <si>
    <t>$450 to $499</t>
  </si>
  <si>
    <t>$1,500 or more</t>
  </si>
  <si>
    <t>Rental housing costs as percent of income</t>
  </si>
  <si>
    <t>Less than 5 percent</t>
  </si>
  <si>
    <t>5 to 9 percent</t>
  </si>
  <si>
    <t>10 to 14 percent</t>
  </si>
  <si>
    <t>20 to 24 percent</t>
  </si>
  <si>
    <t>25 to 29 percent</t>
  </si>
  <si>
    <t>30 to 34 percent</t>
  </si>
  <si>
    <t>35 to 39 percent</t>
  </si>
  <si>
    <t>40 to 49 percent</t>
  </si>
  <si>
    <t>50 to 59 percent</t>
  </si>
  <si>
    <t>60 to 69 percent</t>
  </si>
  <si>
    <t>70 to 99 percent</t>
  </si>
  <si>
    <t>100 percent or more</t>
  </si>
  <si>
    <t>15 to 19 percent</t>
  </si>
  <si>
    <t>Median (excludes 2 previous lines)</t>
  </si>
  <si>
    <t>Median (excludes 3 previous lines)</t>
  </si>
  <si>
    <t>Owner housing costs as percent of income</t>
  </si>
  <si>
    <t>Median (excludes previous line)</t>
  </si>
  <si>
    <t>Less than $10,000</t>
  </si>
  <si>
    <t>$10,000 to $19,999</t>
  </si>
  <si>
    <t>$20,000 to $29,999</t>
  </si>
  <si>
    <t>$30,000 to $39,999</t>
  </si>
  <si>
    <t>$40,000 to $49,999</t>
  </si>
  <si>
    <t>$50,000 to $59,999</t>
  </si>
  <si>
    <t>$60,000 to $69,999</t>
  </si>
  <si>
    <t>$70,000 to $79,999</t>
  </si>
  <si>
    <t>$80,000 to $99,999</t>
  </si>
  <si>
    <t>$100,000 to $119,999</t>
  </si>
  <si>
    <t>$120,000 to $149,999</t>
  </si>
  <si>
    <t>$200,000 to $249,999</t>
  </si>
  <si>
    <t>$250,000 to $299,999</t>
  </si>
  <si>
    <t>$300,000 or more</t>
  </si>
  <si>
    <t>Ratio of Value to Current Income</t>
  </si>
  <si>
    <t>Less than 1.5</t>
  </si>
  <si>
    <t>1.5 to 1.9</t>
  </si>
  <si>
    <t>2.0 to 2.4</t>
  </si>
  <si>
    <t>2.5 to 2.9</t>
  </si>
  <si>
    <t>3.0 to 3.9</t>
  </si>
  <si>
    <t>4.0 to 4.9</t>
  </si>
  <si>
    <t>5.0 or more</t>
  </si>
  <si>
    <t>Home equity line of credit</t>
  </si>
  <si>
    <t>Regular mortgage or home equity lump sum</t>
  </si>
  <si>
    <t>Land contract</t>
  </si>
  <si>
    <t>One regular mortgage only</t>
  </si>
  <si>
    <t>Owner-occupied units</t>
  </si>
  <si>
    <t>Assumed, wrap-around, combination</t>
  </si>
  <si>
    <t>Water -- Year-around units</t>
  </si>
  <si>
    <t>Sewer -- year-around units</t>
  </si>
  <si>
    <t>Kitchen -- year-around units</t>
  </si>
  <si>
    <t>Plumbing -- year-around units</t>
  </si>
  <si>
    <t>No heating equipment -- year-around units</t>
  </si>
  <si>
    <t>No elevator, 4 or more stories -- year-around units</t>
  </si>
  <si>
    <t>No elevator, 3 or more stories -- year-around units</t>
  </si>
  <si>
    <t>Severe Problems -- occupied units</t>
  </si>
  <si>
    <t>Moderate problems -- occupied units</t>
  </si>
  <si>
    <t>NA</t>
  </si>
  <si>
    <t>Air conditioning -- year-around units</t>
  </si>
  <si>
    <t>Room units</t>
  </si>
  <si>
    <t>Central system</t>
  </si>
  <si>
    <t>Lots less than 10 acres and no business</t>
  </si>
  <si>
    <t>$60,000 or more</t>
  </si>
  <si>
    <t>Zero or negative income/not computed</t>
  </si>
  <si>
    <t>4.0 or more</t>
  </si>
  <si>
    <t>Conventional, PMI, or other</t>
  </si>
  <si>
    <t>$200 or more</t>
  </si>
  <si>
    <t>$200 to $249</t>
  </si>
  <si>
    <t>Owner Monthly Housing Cost</t>
  </si>
  <si>
    <t>Specified renter occupied</t>
  </si>
  <si>
    <t>Less than 10 percent</t>
  </si>
  <si>
    <t>25 to 34 percent</t>
  </si>
  <si>
    <t>35 to 49 percent</t>
  </si>
  <si>
    <t>50 percent or more</t>
  </si>
  <si>
    <t>Holes in floors</t>
  </si>
  <si>
    <t>Exposed wiring</t>
  </si>
  <si>
    <t>One or more rooms without outlet</t>
  </si>
  <si>
    <t>Fuses or breakers blown in last 3 months</t>
  </si>
  <si>
    <t>Open cracks or holes in walls or ceilings</t>
  </si>
  <si>
    <t>Roof</t>
  </si>
  <si>
    <t>Basement</t>
  </si>
  <si>
    <t>With basement</t>
  </si>
  <si>
    <t>Size, Location, and Tenure Status of the Housing Stock</t>
  </si>
  <si>
    <t>Tenure Status of Occupied Units</t>
  </si>
  <si>
    <t>With a mortgage</t>
  </si>
  <si>
    <t xml:space="preserve">    Reverse mortgage</t>
  </si>
  <si>
    <t xml:space="preserve">    Regular and/or home-equity mortgage</t>
  </si>
  <si>
    <t xml:space="preserve">        Regular mortgage</t>
  </si>
  <si>
    <t xml:space="preserve">   No regular or lump sum -- home equity not reported</t>
  </si>
  <si>
    <t>Neighborhood Problems</t>
  </si>
  <si>
    <t>Litter (major or minor accumulation)</t>
  </si>
  <si>
    <t>Streets need repair</t>
  </si>
  <si>
    <t>Odors</t>
  </si>
  <si>
    <t xml:space="preserve">Crime </t>
  </si>
  <si>
    <t>Travel time to work</t>
  </si>
  <si>
    <t>Less than 15 minutes</t>
  </si>
  <si>
    <t>15 to 29 minutes</t>
  </si>
  <si>
    <t>30 to 44 minutes</t>
  </si>
  <si>
    <t>45 to 59 minutes</t>
  </si>
  <si>
    <t>1 hour to 1 hour an 29 minutes</t>
  </si>
  <si>
    <t>1 hour 30 minutes or more</t>
  </si>
  <si>
    <t>Works at home</t>
  </si>
  <si>
    <t>No fixed place of work</t>
  </si>
  <si>
    <t>Working heads</t>
  </si>
  <si>
    <t>Distance to work</t>
  </si>
  <si>
    <t>Less than 1 mile</t>
  </si>
  <si>
    <t>1 to 4 miles</t>
  </si>
  <si>
    <t>5 to 9 miles</t>
  </si>
  <si>
    <t>10 to 29 miles</t>
  </si>
  <si>
    <t>50 miles or more</t>
  </si>
  <si>
    <t>Householder</t>
  </si>
  <si>
    <t xml:space="preserve">Commuting </t>
  </si>
  <si>
    <t xml:space="preserve">Water leakage from outside </t>
  </si>
  <si>
    <t>Selected deficiencies -- occupied units</t>
  </si>
  <si>
    <t>Abandoned buildings (other buildings vandalized or with interior exposed)</t>
  </si>
  <si>
    <t>Not reported or no building within 300 ft</t>
  </si>
  <si>
    <t>limited to multiunit structures</t>
  </si>
  <si>
    <t>No streets/not reported</t>
  </si>
  <si>
    <t>70 percent or more</t>
  </si>
  <si>
    <t>mortgage payment not reported</t>
  </si>
  <si>
    <t>All other</t>
  </si>
  <si>
    <t xml:space="preserve">Not reported  </t>
  </si>
  <si>
    <t>Total working householders</t>
  </si>
  <si>
    <t>Home equity line not reported</t>
  </si>
  <si>
    <t>Table 2.2 for occupied units only</t>
  </si>
  <si>
    <t>dropped</t>
  </si>
  <si>
    <t>Table 3-15, sum rows 3-6</t>
  </si>
  <si>
    <t>???</t>
  </si>
  <si>
    <t>Table 3-15 row 14?</t>
  </si>
  <si>
    <t>Table 3-15, row 5?</t>
  </si>
  <si>
    <t>hard to read</t>
  </si>
  <si>
    <t xml:space="preserve">   Date not reported</t>
  </si>
  <si>
    <t>1 and 2 rooms</t>
  </si>
  <si>
    <t>omit</t>
  </si>
  <si>
    <t>30 to 49 miles</t>
  </si>
  <si>
    <t>April 1970 or later</t>
  </si>
  <si>
    <t>data for occupied units only</t>
  </si>
  <si>
    <t>(804 unreported)</t>
  </si>
  <si>
    <t>included above</t>
  </si>
  <si>
    <t>basement, but no leak info</t>
  </si>
  <si>
    <t>$100,000 to $149,999</t>
  </si>
  <si>
    <t>I double checked these.  White + Black does not equal total for both renters and owners, no other racial category.</t>
  </si>
  <si>
    <t>Condition identified as "bothersome"</t>
  </si>
  <si>
    <t>35 percent or more</t>
  </si>
  <si>
    <t>$700 or more</t>
  </si>
  <si>
    <t>$50,000 or more</t>
  </si>
  <si>
    <t>$60,000 to $99,999</t>
  </si>
  <si>
    <t>$20,000 to $49,999</t>
  </si>
  <si>
    <t>Change</t>
  </si>
  <si>
    <t>Max</t>
  </si>
  <si>
    <t>Min</t>
  </si>
  <si>
    <t>.</t>
  </si>
  <si>
    <t>..</t>
  </si>
  <si>
    <t>Median (over 100%, negative income, &amp; no cash rent)</t>
  </si>
  <si>
    <t>Check</t>
  </si>
  <si>
    <t>?? Difference ??</t>
  </si>
  <si>
    <t>Year round Housing Units</t>
  </si>
  <si>
    <t>Cooperatives &amp; Condominiums -- year-round units</t>
  </si>
  <si>
    <t>Occupancy Status -- year-round units</t>
  </si>
  <si>
    <t>Units in Structure -- Year-round units</t>
  </si>
  <si>
    <t>Year Built -- year-round units</t>
  </si>
  <si>
    <t>Rooms -- year-round units</t>
  </si>
  <si>
    <t xml:space="preserve">Bedrooms -- year-round units </t>
  </si>
  <si>
    <t>Bathrooms -- year-round units</t>
  </si>
  <si>
    <t>Square Footage &amp; Acrage -- year-round units</t>
  </si>
  <si>
    <t>Lots of 1-unit Structures -- year-round units</t>
  </si>
  <si>
    <t>Assumed, wrap-round, combination</t>
  </si>
  <si>
    <t>Water -- Year-round units</t>
  </si>
  <si>
    <t>Sewer -- year-round units</t>
  </si>
  <si>
    <t>Kitchen -- year-round units</t>
  </si>
  <si>
    <t>Plumbing -- year-round units</t>
  </si>
  <si>
    <t>No heating equipment -- year-round units</t>
  </si>
  <si>
    <t>No elevator, 3 or more stories -- year-round units</t>
  </si>
  <si>
    <t>No elevator, 4 or more stories -- year-round units</t>
  </si>
  <si>
    <t>Air conditioning -- year-round units</t>
  </si>
  <si>
    <t>HS</t>
  </si>
  <si>
    <t>OU</t>
  </si>
  <si>
    <t>1970 or later</t>
  </si>
  <si>
    <t>--</t>
  </si>
  <si>
    <t>merge</t>
  </si>
  <si>
    <t>Persons per room -- occupied units</t>
  </si>
  <si>
    <t xml:space="preserve"> Year-round units</t>
  </si>
  <si>
    <t>Occuupied units</t>
  </si>
  <si>
    <t>Leaks from roof</t>
  </si>
  <si>
    <t>Leaks in basement</t>
  </si>
  <si>
    <t>No heating equipment</t>
  </si>
  <si>
    <t>Severe Problems</t>
  </si>
  <si>
    <t>Moderate problems</t>
  </si>
  <si>
    <t>max</t>
  </si>
  <si>
    <t>min</t>
  </si>
  <si>
    <t>RENT TO INCOME RECALCULATION</t>
  </si>
  <si>
    <t>check</t>
  </si>
  <si>
    <t>Zero or negative income</t>
  </si>
  <si>
    <t>Renter housing costs as percent of income</t>
  </si>
  <si>
    <t>Median owner monthly housing costs</t>
  </si>
  <si>
    <t>OWNER COSTS TO INCOME RECALCULATION</t>
  </si>
  <si>
    <t>Median gross rent</t>
  </si>
  <si>
    <t>sum 19 + 20</t>
  </si>
  <si>
    <t>sum 7:13</t>
  </si>
  <si>
    <t>1975 Value</t>
  </si>
  <si>
    <t>Check 2</t>
  </si>
  <si>
    <t>No repairs needed</t>
  </si>
  <si>
    <t>Ethnicity</t>
  </si>
  <si>
    <t>Hispanics</t>
  </si>
  <si>
    <t>Race</t>
  </si>
  <si>
    <t xml:space="preserve">   For rent</t>
  </si>
  <si>
    <t xml:space="preserve">   For sale only</t>
  </si>
  <si>
    <t xml:space="preserve">   Rented or sold</t>
  </si>
  <si>
    <t xml:space="preserve">   Occassional use/URE</t>
  </si>
  <si>
    <t xml:space="preserve">   Other Vacant</t>
  </si>
  <si>
    <t>Rental vacancy rate</t>
  </si>
  <si>
    <t xml:space="preserve"> Homeownership rate</t>
  </si>
  <si>
    <t>Year</t>
  </si>
  <si>
    <t>1 unit, both attach &amp; detach</t>
  </si>
  <si>
    <t>5-9 units of all multifamily</t>
  </si>
  <si>
    <t>10+ units of all multi</t>
  </si>
  <si>
    <t xml:space="preserve">Overcrowded (more than 1.01 persons per room) </t>
  </si>
  <si>
    <t>Severely Overcrowded (more than 1.51 persons per room)</t>
  </si>
  <si>
    <t>median monthly housing</t>
  </si>
  <si>
    <t>costs all occupied units</t>
  </si>
  <si>
    <t>annual</t>
  </si>
  <si>
    <t>1973 buying power</t>
  </si>
  <si>
    <t>Under $200</t>
  </si>
  <si>
    <t xml:space="preserve">Other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</si>
</sst>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"/>
    <numFmt numFmtId="168" formatCode="0_);\(0\)"/>
    <numFmt numFmtId="169" formatCode="_(&quot;$&quot;* #,##0.000_);_(&quot;$&quot;* \(#,##0.000\);_(&quot;$&quot;* &quot;-&quot;??_);_(@_)"/>
    <numFmt numFmtId="170" formatCode="0.0"/>
    <numFmt numFmtId="171" formatCode="&quot;$&quot;#,##0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$&quot;#,##0.0_);[Red]\(&quot;$&quot;#,##0.0\)"/>
    <numFmt numFmtId="180" formatCode="0.000000000000000000%"/>
    <numFmt numFmtId="181" formatCode="0.00000000000000000%"/>
    <numFmt numFmtId="182" formatCode="0.0000000000000000%"/>
    <numFmt numFmtId="183" formatCode="0.000000000000000%"/>
    <numFmt numFmtId="184" formatCode="0.00000000000000%"/>
    <numFmt numFmtId="185" formatCode="0.0000000000000%"/>
    <numFmt numFmtId="186" formatCode="0.000000000000%"/>
    <numFmt numFmtId="187" formatCode="0.00000000000%"/>
    <numFmt numFmtId="188" formatCode="0.0000000000%"/>
    <numFmt numFmtId="189" formatCode="0.000000000%"/>
    <numFmt numFmtId="190" formatCode="0.00000000%"/>
    <numFmt numFmtId="191" formatCode="0.0000000%"/>
    <numFmt numFmtId="192" formatCode="0.000000%"/>
    <numFmt numFmtId="193" formatCode="0.00000%"/>
    <numFmt numFmtId="194" formatCode="0.0000%"/>
    <numFmt numFmtId="195" formatCode="0.000%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MS Sans Serif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name val="MS Sans Serif"/>
      <family val="2"/>
    </font>
    <font>
      <sz val="10"/>
      <color indexed="48"/>
      <name val="Arial"/>
      <family val="0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164" fontId="2" fillId="0" borderId="0" xfId="21" applyNumberFormat="1" applyFont="1" applyFill="1" applyAlignment="1" quotePrefix="1">
      <alignment/>
    </xf>
    <xf numFmtId="164" fontId="2" fillId="0" borderId="0" xfId="21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 quotePrefix="1">
      <alignment/>
    </xf>
    <xf numFmtId="0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1" fontId="2" fillId="0" borderId="0" xfId="21" applyNumberFormat="1" applyFont="1" applyFill="1" applyAlignment="1" quotePrefix="1">
      <alignment horizontal="left"/>
    </xf>
    <xf numFmtId="0" fontId="0" fillId="0" borderId="0" xfId="0" applyNumberFormat="1" applyFill="1" applyAlignment="1" quotePrefix="1">
      <alignment/>
    </xf>
    <xf numFmtId="0" fontId="2" fillId="0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NumberFormat="1" applyFont="1" applyFill="1" applyAlignment="1">
      <alignment/>
    </xf>
    <xf numFmtId="164" fontId="5" fillId="0" borderId="0" xfId="21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Fill="1" applyAlignment="1">
      <alignment horizontal="left"/>
    </xf>
    <xf numFmtId="12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166" fontId="0" fillId="0" borderId="0" xfId="17" applyNumberFormat="1" applyAlignment="1">
      <alignment/>
    </xf>
    <xf numFmtId="0" fontId="2" fillId="0" borderId="0" xfId="0" applyFont="1" applyFill="1" applyAlignment="1">
      <alignment wrapText="1"/>
    </xf>
    <xf numFmtId="9" fontId="0" fillId="0" borderId="0" xfId="21" applyAlignment="1">
      <alignment/>
    </xf>
    <xf numFmtId="0" fontId="4" fillId="0" borderId="0" xfId="0" applyFont="1" applyFill="1" applyAlignment="1">
      <alignment wrapText="1"/>
    </xf>
    <xf numFmtId="167" fontId="0" fillId="0" borderId="0" xfId="0" applyNumberFormat="1" applyAlignment="1">
      <alignment/>
    </xf>
    <xf numFmtId="164" fontId="0" fillId="0" borderId="0" xfId="21" applyNumberFormat="1" applyAlignment="1">
      <alignment/>
    </xf>
    <xf numFmtId="167" fontId="0" fillId="0" borderId="0" xfId="0" applyNumberFormat="1" applyAlignment="1" quotePrefix="1">
      <alignment/>
    </xf>
    <xf numFmtId="168" fontId="4" fillId="0" borderId="0" xfId="15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0" fillId="0" borderId="0" xfId="21" applyNumberFormat="1" applyAlignment="1" quotePrefix="1">
      <alignment/>
    </xf>
    <xf numFmtId="164" fontId="0" fillId="0" borderId="0" xfId="21" applyNumberFormat="1" applyAlignment="1">
      <alignment/>
    </xf>
    <xf numFmtId="166" fontId="0" fillId="0" borderId="0" xfId="17" applyNumberFormat="1" applyAlignment="1">
      <alignment/>
    </xf>
    <xf numFmtId="9" fontId="0" fillId="0" borderId="0" xfId="21" applyAlignment="1">
      <alignment/>
    </xf>
    <xf numFmtId="166" fontId="0" fillId="0" borderId="0" xfId="17" applyNumberFormat="1" applyAlignment="1" quotePrefix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21" applyAlignment="1" quotePrefix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 quotePrefix="1">
      <alignment/>
    </xf>
    <xf numFmtId="3" fontId="0" fillId="2" borderId="0" xfId="0" applyNumberFormat="1" applyFill="1" applyAlignment="1">
      <alignment horizontal="center"/>
    </xf>
    <xf numFmtId="9" fontId="0" fillId="2" borderId="0" xfId="21" applyFill="1" applyAlignment="1">
      <alignment/>
    </xf>
    <xf numFmtId="3" fontId="0" fillId="3" borderId="0" xfId="0" applyNumberFormat="1" applyFill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Fill="1" applyAlignment="1">
      <alignment horizontal="center"/>
    </xf>
    <xf numFmtId="9" fontId="0" fillId="0" borderId="0" xfId="21" applyFont="1" applyAlignment="1">
      <alignment horizont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3" fontId="0" fillId="4" borderId="0" xfId="0" applyNumberFormat="1" applyFill="1" applyAlignment="1">
      <alignment horizontal="center"/>
    </xf>
    <xf numFmtId="3" fontId="0" fillId="4" borderId="0" xfId="0" applyNumberFormat="1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9" fontId="0" fillId="0" borderId="0" xfId="2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21" applyNumberFormat="1" applyAlignment="1">
      <alignment horizontal="center"/>
    </xf>
    <xf numFmtId="164" fontId="0" fillId="0" borderId="0" xfId="21" applyNumberFormat="1" applyAlignment="1" quotePrefix="1">
      <alignment/>
    </xf>
    <xf numFmtId="3" fontId="0" fillId="5" borderId="0" xfId="0" applyNumberFormat="1" applyFill="1" applyAlignment="1">
      <alignment/>
    </xf>
    <xf numFmtId="164" fontId="0" fillId="0" borderId="0" xfId="21" applyNumberFormat="1" applyFont="1" applyAlignment="1">
      <alignment/>
    </xf>
    <xf numFmtId="3" fontId="10" fillId="0" borderId="0" xfId="0" applyNumberFormat="1" applyFont="1" applyAlignment="1">
      <alignment/>
    </xf>
    <xf numFmtId="9" fontId="0" fillId="0" borderId="0" xfId="21" applyFill="1" applyAlignment="1">
      <alignment/>
    </xf>
    <xf numFmtId="166" fontId="10" fillId="0" borderId="0" xfId="17" applyNumberFormat="1" applyFont="1" applyAlignment="1">
      <alignment/>
    </xf>
    <xf numFmtId="3" fontId="10" fillId="2" borderId="0" xfId="0" applyNumberFormat="1" applyFont="1" applyFill="1" applyAlignment="1">
      <alignment/>
    </xf>
    <xf numFmtId="3" fontId="0" fillId="6" borderId="0" xfId="0" applyNumberFormat="1" applyFill="1" applyAlignment="1">
      <alignment/>
    </xf>
    <xf numFmtId="3" fontId="0" fillId="6" borderId="0" xfId="0" applyNumberFormat="1" applyFill="1" applyAlignment="1" quotePrefix="1">
      <alignment/>
    </xf>
    <xf numFmtId="164" fontId="0" fillId="0" borderId="0" xfId="21" applyNumberFormat="1" applyFont="1" applyAlignment="1">
      <alignment/>
    </xf>
    <xf numFmtId="0" fontId="0" fillId="0" borderId="0" xfId="0" applyFont="1" applyFill="1" applyAlignment="1">
      <alignment horizontal="center" vertical="center"/>
    </xf>
    <xf numFmtId="164" fontId="0" fillId="0" borderId="0" xfId="21" applyNumberFormat="1" applyAlignment="1">
      <alignment horizontal="right"/>
    </xf>
    <xf numFmtId="3" fontId="0" fillId="2" borderId="0" xfId="0" applyNumberFormat="1" applyFill="1" applyAlignment="1">
      <alignment horizontal="right"/>
    </xf>
    <xf numFmtId="164" fontId="11" fillId="0" borderId="0" xfId="21" applyNumberFormat="1" applyFont="1" applyFill="1" applyAlignment="1">
      <alignment/>
    </xf>
    <xf numFmtId="0" fontId="11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9" fontId="0" fillId="2" borderId="0" xfId="21" applyFill="1" applyAlignment="1">
      <alignment/>
    </xf>
    <xf numFmtId="0" fontId="11" fillId="0" borderId="0" xfId="0" applyFont="1" applyFill="1" applyAlignment="1">
      <alignment wrapText="1"/>
    </xf>
    <xf numFmtId="3" fontId="0" fillId="4" borderId="0" xfId="0" applyNumberFormat="1" applyFill="1" applyAlignment="1" quotePrefix="1">
      <alignment/>
    </xf>
    <xf numFmtId="3" fontId="0" fillId="0" borderId="0" xfId="0" applyNumberFormat="1" applyFill="1" applyAlignment="1" quotePrefix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center"/>
    </xf>
    <xf numFmtId="164" fontId="0" fillId="0" borderId="0" xfId="21" applyNumberFormat="1" applyFont="1" applyAlignment="1" quotePrefix="1">
      <alignment horizontal="center"/>
    </xf>
    <xf numFmtId="12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21" applyNumberFormat="1" applyFont="1" applyAlignment="1">
      <alignment/>
    </xf>
    <xf numFmtId="9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9" fontId="0" fillId="0" borderId="0" xfId="21" applyNumberFormat="1" applyAlignment="1">
      <alignment/>
    </xf>
    <xf numFmtId="171" fontId="0" fillId="0" borderId="0" xfId="17" applyNumberFormat="1" applyAlignment="1">
      <alignment/>
    </xf>
    <xf numFmtId="171" fontId="0" fillId="0" borderId="0" xfId="17" applyNumberFormat="1" applyAlignment="1">
      <alignment/>
    </xf>
    <xf numFmtId="171" fontId="0" fillId="0" borderId="0" xfId="17" applyNumberFormat="1" applyAlignment="1" quotePrefix="1">
      <alignment/>
    </xf>
    <xf numFmtId="167" fontId="12" fillId="0" borderId="0" xfId="0" applyNumberFormat="1" applyFont="1" applyAlignment="1">
      <alignment/>
    </xf>
    <xf numFmtId="164" fontId="0" fillId="0" borderId="0" xfId="21" applyNumberFormat="1" applyFill="1" applyAlignment="1">
      <alignment/>
    </xf>
    <xf numFmtId="164" fontId="4" fillId="0" borderId="0" xfId="0" applyNumberFormat="1" applyFont="1" applyAlignment="1">
      <alignment/>
    </xf>
    <xf numFmtId="168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6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Scratch!$B$129:$V$129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Scratch!$B$130:$V$130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49173524"/>
        <c:axId val="39908533"/>
      </c:scatterChart>
      <c:valAx>
        <c:axId val="4917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08533"/>
        <c:crosses val="autoZero"/>
        <c:crossBetween val="midCat"/>
        <c:dispUnits/>
      </c:valAx>
      <c:valAx>
        <c:axId val="39908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735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Household type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Scratch!$A$184</c:f>
              <c:strCache>
                <c:ptCount val="1"/>
                <c:pt idx="0">
                  <c:v>Married-couple families, no nonrelatives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Scratch!$B$187:$V$187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Scratch!$B$184:$V$184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Scratch!$A$185</c:f>
              <c:strCache>
                <c:ptCount val="1"/>
                <c:pt idx="0">
                  <c:v>I person household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Scratch!$B$187:$V$187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Scratch!$B$185:$V$185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Scratch!$A$186</c:f>
              <c:strCache>
                <c:ptCount val="1"/>
                <c:pt idx="0">
                  <c:v>Other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Scratch!$B$187:$V$187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Scratch!$B$186:$V$186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23632478"/>
        <c:axId val="11365711"/>
      </c:areaChart>
      <c:catAx>
        <c:axId val="2363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65711"/>
        <c:crosses val="autoZero"/>
        <c:auto val="0"/>
        <c:lblOffset val="100"/>
        <c:noMultiLvlLbl val="0"/>
      </c:catAx>
      <c:valAx>
        <c:axId val="11365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324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131</xdr:row>
      <xdr:rowOff>133350</xdr:rowOff>
    </xdr:from>
    <xdr:to>
      <xdr:col>11</xdr:col>
      <xdr:colOff>257175</xdr:colOff>
      <xdr:row>147</xdr:row>
      <xdr:rowOff>38100</xdr:rowOff>
    </xdr:to>
    <xdr:graphicFrame>
      <xdr:nvGraphicFramePr>
        <xdr:cNvPr id="1" name="Chart 1"/>
        <xdr:cNvGraphicFramePr/>
      </xdr:nvGraphicFramePr>
      <xdr:xfrm>
        <a:off x="2857500" y="21669375"/>
        <a:ext cx="50673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192</xdr:row>
      <xdr:rowOff>9525</xdr:rowOff>
    </xdr:from>
    <xdr:to>
      <xdr:col>15</xdr:col>
      <xdr:colOff>209550</xdr:colOff>
      <xdr:row>221</xdr:row>
      <xdr:rowOff>152400</xdr:rowOff>
    </xdr:to>
    <xdr:graphicFrame>
      <xdr:nvGraphicFramePr>
        <xdr:cNvPr id="2" name="Chart 2"/>
        <xdr:cNvGraphicFramePr/>
      </xdr:nvGraphicFramePr>
      <xdr:xfrm>
        <a:off x="5248275" y="31422975"/>
        <a:ext cx="5067300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C1">
      <selection activeCell="L1" sqref="L1:V14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s="102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02" t="s">
        <v>59</v>
      </c>
      <c r="B3" s="9">
        <v>56006</v>
      </c>
      <c r="C3" s="9">
        <v>57068</v>
      </c>
      <c r="D3" s="9">
        <v>58143</v>
      </c>
      <c r="E3" s="9">
        <v>59167</v>
      </c>
      <c r="F3" s="9">
        <v>60245</v>
      </c>
      <c r="G3" s="9">
        <v>61390</v>
      </c>
      <c r="H3" s="9">
        <v>62361</v>
      </c>
      <c r="I3" s="9">
        <v>63795</v>
      </c>
      <c r="J3" s="9">
        <v>66273</v>
      </c>
      <c r="K3" s="9">
        <v>66863</v>
      </c>
      <c r="L3" s="9">
        <v>69529</v>
      </c>
      <c r="M3" s="9">
        <v>71144</v>
      </c>
      <c r="N3" s="9">
        <v>73582</v>
      </c>
      <c r="O3" s="9">
        <v>72800</v>
      </c>
      <c r="P3" s="9">
        <v>74286</v>
      </c>
      <c r="Q3" s="9">
        <v>76852</v>
      </c>
      <c r="R3" s="9">
        <v>78582</v>
      </c>
      <c r="S3" s="9">
        <v>81381</v>
      </c>
      <c r="T3" s="9">
        <v>84448</v>
      </c>
      <c r="U3" s="9">
        <v>84215</v>
      </c>
      <c r="V3" s="9">
        <v>86675</v>
      </c>
    </row>
    <row r="4" spans="1:22" ht="12.75">
      <c r="A4" s="92" t="s">
        <v>144</v>
      </c>
      <c r="B4" s="9">
        <v>13332</v>
      </c>
      <c r="C4" s="9">
        <v>13763</v>
      </c>
      <c r="D4" s="9">
        <v>14382</v>
      </c>
      <c r="E4" s="9">
        <v>14840</v>
      </c>
      <c r="F4" s="9">
        <v>15035</v>
      </c>
      <c r="G4" s="9">
        <v>15775</v>
      </c>
      <c r="H4" s="9">
        <v>16214</v>
      </c>
      <c r="I4" s="9">
        <v>16277</v>
      </c>
      <c r="J4" s="9">
        <v>16903</v>
      </c>
      <c r="K4" s="9">
        <v>17775</v>
      </c>
      <c r="L4" s="9">
        <v>18896</v>
      </c>
      <c r="M4" s="9">
        <v>19744</v>
      </c>
      <c r="N4" s="9">
        <v>20100</v>
      </c>
      <c r="O4" s="9">
        <v>20348</v>
      </c>
      <c r="P4" s="9">
        <v>20437</v>
      </c>
      <c r="Q4" s="9">
        <v>20841</v>
      </c>
      <c r="R4" s="9">
        <v>20907</v>
      </c>
      <c r="S4" s="9">
        <v>21423</v>
      </c>
      <c r="T4" s="9">
        <v>21812</v>
      </c>
      <c r="U4" s="9">
        <v>21627</v>
      </c>
      <c r="V4" s="9">
        <v>22197</v>
      </c>
    </row>
    <row r="5" spans="1:22" ht="12.75">
      <c r="A5" s="9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2.75">
      <c r="A6" s="102" t="s">
        <v>60</v>
      </c>
      <c r="B6" s="14" t="s">
        <v>242</v>
      </c>
      <c r="C6" s="14" t="s">
        <v>242</v>
      </c>
      <c r="D6" s="14" t="s">
        <v>242</v>
      </c>
      <c r="E6" s="14" t="s">
        <v>242</v>
      </c>
      <c r="F6" s="14" t="s">
        <v>242</v>
      </c>
      <c r="G6" s="14" t="s">
        <v>242</v>
      </c>
      <c r="H6" s="14" t="s">
        <v>242</v>
      </c>
      <c r="I6" s="14" t="s">
        <v>242</v>
      </c>
      <c r="J6" s="14" t="s">
        <v>242</v>
      </c>
      <c r="K6" s="14" t="s">
        <v>242</v>
      </c>
      <c r="L6" s="9">
        <v>11284</v>
      </c>
      <c r="M6" s="9">
        <v>11690</v>
      </c>
      <c r="N6" s="9">
        <v>11781</v>
      </c>
      <c r="O6" s="9">
        <v>11579</v>
      </c>
      <c r="P6" s="9">
        <v>11456</v>
      </c>
      <c r="Q6" s="9">
        <v>11447</v>
      </c>
      <c r="R6" s="9">
        <v>10997</v>
      </c>
      <c r="S6" s="9">
        <v>11041</v>
      </c>
      <c r="T6" s="9">
        <v>10755</v>
      </c>
      <c r="U6" s="9">
        <v>10782</v>
      </c>
      <c r="V6" s="9">
        <v>11082</v>
      </c>
    </row>
    <row r="7" spans="1:22" ht="12" customHeight="1">
      <c r="A7" s="92" t="s">
        <v>61</v>
      </c>
      <c r="B7" s="14" t="s">
        <v>242</v>
      </c>
      <c r="C7" s="14" t="s">
        <v>242</v>
      </c>
      <c r="D7" s="14" t="s">
        <v>242</v>
      </c>
      <c r="E7" s="14" t="s">
        <v>242</v>
      </c>
      <c r="F7" s="14" t="s">
        <v>242</v>
      </c>
      <c r="G7" s="14" t="s">
        <v>242</v>
      </c>
      <c r="H7" s="14" t="s">
        <v>242</v>
      </c>
      <c r="I7" s="14" t="s">
        <v>242</v>
      </c>
      <c r="J7" s="14" t="s">
        <v>242</v>
      </c>
      <c r="K7" s="14" t="s">
        <v>242</v>
      </c>
      <c r="L7" s="9">
        <v>7612</v>
      </c>
      <c r="M7" s="9">
        <v>8054</v>
      </c>
      <c r="N7" s="9">
        <v>8319</v>
      </c>
      <c r="O7" s="9">
        <v>8769</v>
      </c>
      <c r="P7" s="9">
        <v>8981</v>
      </c>
      <c r="Q7" s="9">
        <v>9394</v>
      </c>
      <c r="R7" s="9">
        <v>9910</v>
      </c>
      <c r="S7" s="9">
        <v>10382</v>
      </c>
      <c r="T7" s="9">
        <v>11057</v>
      </c>
      <c r="U7" s="9">
        <v>10845</v>
      </c>
      <c r="V7" s="9">
        <v>11115</v>
      </c>
    </row>
    <row r="8" spans="1:22" ht="12.75">
      <c r="A8" s="9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02" t="s">
        <v>389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02" t="s">
        <v>65</v>
      </c>
      <c r="B10" s="9">
        <v>61463</v>
      </c>
      <c r="C10" s="9">
        <v>62562</v>
      </c>
      <c r="D10" s="9">
        <v>63860</v>
      </c>
      <c r="E10" s="9">
        <v>65114</v>
      </c>
      <c r="F10" s="9">
        <v>66111</v>
      </c>
      <c r="G10" s="9">
        <v>67664</v>
      </c>
      <c r="H10" s="9">
        <v>68786</v>
      </c>
      <c r="I10" s="9">
        <v>69922</v>
      </c>
      <c r="J10" s="9">
        <v>72391</v>
      </c>
      <c r="K10" s="9">
        <v>72562</v>
      </c>
      <c r="L10" s="9">
        <v>76266</v>
      </c>
      <c r="M10" s="9">
        <v>78179</v>
      </c>
      <c r="N10" s="9">
        <v>80312</v>
      </c>
      <c r="O10" s="9">
        <v>79140</v>
      </c>
      <c r="P10" s="9">
        <v>80029</v>
      </c>
      <c r="Q10" s="9">
        <v>81611</v>
      </c>
      <c r="R10" s="9">
        <v>82154</v>
      </c>
      <c r="S10" s="9">
        <v>83624</v>
      </c>
      <c r="T10" s="9">
        <v>85292</v>
      </c>
      <c r="U10" s="9">
        <v>87483</v>
      </c>
      <c r="V10" s="9">
        <v>89449</v>
      </c>
    </row>
    <row r="11" spans="1:22" ht="12.75">
      <c r="A11" s="102" t="s">
        <v>68</v>
      </c>
      <c r="B11" s="9">
        <v>6962</v>
      </c>
      <c r="C11" s="9">
        <v>7275</v>
      </c>
      <c r="D11" s="9">
        <v>7561</v>
      </c>
      <c r="E11" s="9">
        <v>7711</v>
      </c>
      <c r="F11" s="9">
        <v>7956</v>
      </c>
      <c r="G11" s="9">
        <v>8180</v>
      </c>
      <c r="H11" s="9">
        <v>8354</v>
      </c>
      <c r="I11" s="9">
        <v>8603</v>
      </c>
      <c r="J11" s="9">
        <v>9010</v>
      </c>
      <c r="K11" s="9">
        <v>9163</v>
      </c>
      <c r="L11" s="9">
        <v>9903</v>
      </c>
      <c r="M11" s="9">
        <v>10251</v>
      </c>
      <c r="N11" s="9">
        <v>10633</v>
      </c>
      <c r="O11" s="9">
        <v>10832</v>
      </c>
      <c r="P11" s="9">
        <v>11128</v>
      </c>
      <c r="Q11" s="9">
        <v>11773</v>
      </c>
      <c r="R11" s="9">
        <v>12085</v>
      </c>
      <c r="S11" s="9">
        <v>12936</v>
      </c>
      <c r="T11" s="9">
        <v>13292</v>
      </c>
      <c r="U11" s="9">
        <v>13004</v>
      </c>
      <c r="V11" s="9">
        <v>13447</v>
      </c>
    </row>
    <row r="12" spans="1:22" ht="12.75">
      <c r="A12" s="10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102" t="s">
        <v>387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92" t="s">
        <v>388</v>
      </c>
      <c r="B14" s="9">
        <v>2754</v>
      </c>
      <c r="C14" s="9">
        <v>2842</v>
      </c>
      <c r="D14" s="9">
        <v>3091</v>
      </c>
      <c r="E14" s="9">
        <v>3265</v>
      </c>
      <c r="F14" s="9">
        <v>3614</v>
      </c>
      <c r="G14" s="9">
        <v>3788</v>
      </c>
      <c r="H14" s="9">
        <v>3931</v>
      </c>
      <c r="I14" s="9">
        <v>4081</v>
      </c>
      <c r="J14" s="9">
        <v>4328</v>
      </c>
      <c r="K14" s="9">
        <v>4594</v>
      </c>
      <c r="L14" s="9">
        <v>5708</v>
      </c>
      <c r="M14" s="9">
        <v>5587</v>
      </c>
      <c r="N14" s="9">
        <v>6204</v>
      </c>
      <c r="O14" s="9">
        <v>6239</v>
      </c>
      <c r="P14" s="9">
        <v>6614</v>
      </c>
      <c r="Q14" s="9">
        <v>7757</v>
      </c>
      <c r="R14" s="9">
        <v>8513</v>
      </c>
      <c r="S14" s="9">
        <v>9041</v>
      </c>
      <c r="T14" s="9">
        <v>9814</v>
      </c>
      <c r="U14" s="9">
        <v>11038</v>
      </c>
      <c r="V14" s="9">
        <v>11651</v>
      </c>
    </row>
    <row r="18" spans="1:22" ht="12.75">
      <c r="A18" s="59" t="s">
        <v>66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>
        <v>4523</v>
      </c>
      <c r="M18" s="9">
        <v>5032</v>
      </c>
      <c r="N18" s="9">
        <v>5619</v>
      </c>
      <c r="O18" s="9">
        <v>5515</v>
      </c>
      <c r="P18" s="9">
        <v>5749</v>
      </c>
      <c r="Q18" s="9">
        <v>6454</v>
      </c>
      <c r="R18" s="9">
        <v>6762</v>
      </c>
      <c r="S18" s="9">
        <v>6733</v>
      </c>
      <c r="T18" s="9">
        <v>6508</v>
      </c>
      <c r="U18" s="9">
        <v>10125</v>
      </c>
      <c r="V18" s="9">
        <v>10747</v>
      </c>
    </row>
    <row r="19" spans="1:22" ht="12.75">
      <c r="A19" s="59" t="s">
        <v>67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>
        <v>71743</v>
      </c>
      <c r="M19" s="9">
        <v>73147</v>
      </c>
      <c r="N19" s="9">
        <v>74693</v>
      </c>
      <c r="O19" s="9">
        <v>73625</v>
      </c>
      <c r="P19" s="9">
        <v>74280</v>
      </c>
      <c r="Q19" s="9">
        <v>75157</v>
      </c>
      <c r="R19" s="9">
        <v>75392</v>
      </c>
      <c r="S19" s="9">
        <v>76891</v>
      </c>
      <c r="T19" s="9">
        <v>78784</v>
      </c>
      <c r="U19" s="9">
        <v>77358</v>
      </c>
      <c r="V19" s="9">
        <v>78702</v>
      </c>
    </row>
    <row r="20" spans="1:22" ht="12.75">
      <c r="A20" s="59" t="s">
        <v>66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 t="s">
        <v>242</v>
      </c>
      <c r="R20" s="9" t="s">
        <v>242</v>
      </c>
      <c r="S20" s="9" t="s">
        <v>242</v>
      </c>
      <c r="T20" s="9" t="s">
        <v>242</v>
      </c>
      <c r="U20" s="9">
        <v>456</v>
      </c>
      <c r="V20" s="9">
        <v>402</v>
      </c>
    </row>
    <row r="21" spans="1:22" ht="12.75">
      <c r="A21" s="59" t="s">
        <v>67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 t="s">
        <v>242</v>
      </c>
      <c r="R21" s="9" t="s">
        <v>242</v>
      </c>
      <c r="S21" s="9" t="s">
        <v>242</v>
      </c>
      <c r="T21" s="9" t="s">
        <v>242</v>
      </c>
      <c r="U21" s="9">
        <v>12548</v>
      </c>
      <c r="V21" s="9">
        <v>13045</v>
      </c>
    </row>
    <row r="23" spans="1:22" ht="12.75">
      <c r="A23" s="59" t="s">
        <v>69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v>601</v>
      </c>
      <c r="R23" s="9">
        <v>620</v>
      </c>
      <c r="S23" s="9">
        <v>666</v>
      </c>
      <c r="T23" s="9">
        <v>618</v>
      </c>
      <c r="U23" s="9">
        <v>664</v>
      </c>
      <c r="V23" s="9">
        <v>800</v>
      </c>
    </row>
    <row r="24" spans="1:22" ht="12.75">
      <c r="A24" t="s">
        <v>137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2430</v>
      </c>
      <c r="R24" s="9">
        <v>2805</v>
      </c>
      <c r="S24" s="9">
        <v>3049</v>
      </c>
      <c r="T24" s="9">
        <v>3331</v>
      </c>
      <c r="U24" s="9">
        <v>3478</v>
      </c>
      <c r="V24" s="9">
        <v>3779</v>
      </c>
    </row>
    <row r="25" spans="1:22" ht="12.75">
      <c r="A25" s="59" t="s">
        <v>70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 t="s">
        <v>242</v>
      </c>
      <c r="R25" s="9" t="s">
        <v>242</v>
      </c>
      <c r="S25" s="9" t="s">
        <v>242</v>
      </c>
      <c r="T25" s="9" t="s">
        <v>242</v>
      </c>
      <c r="U25" s="9">
        <v>1215</v>
      </c>
      <c r="V25" s="9">
        <v>1397</v>
      </c>
    </row>
    <row r="26" spans="1:22" ht="12.75">
      <c r="A26" s="59" t="s">
        <v>52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2458</v>
      </c>
      <c r="N26" s="9">
        <v>2738</v>
      </c>
      <c r="O26" s="9">
        <v>3175</v>
      </c>
      <c r="P26" s="9">
        <v>3567</v>
      </c>
      <c r="Q26" s="9">
        <v>1278</v>
      </c>
      <c r="R26" s="9">
        <v>1823</v>
      </c>
      <c r="S26" s="9">
        <v>2528</v>
      </c>
      <c r="T26" s="9">
        <v>3728</v>
      </c>
      <c r="U26" s="9" t="s">
        <v>242</v>
      </c>
      <c r="V26" s="9" t="s">
        <v>242</v>
      </c>
    </row>
    <row r="27" spans="1:22" ht="12.75">
      <c r="A27" s="59" t="s">
        <v>305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v>2257</v>
      </c>
      <c r="M27" s="9"/>
      <c r="N27" s="9"/>
      <c r="O27" s="9"/>
      <c r="P27" s="9"/>
      <c r="Q27" s="9"/>
      <c r="R27" s="9"/>
      <c r="S27" s="9"/>
      <c r="T27" s="9"/>
      <c r="U27" s="9"/>
      <c r="V27" s="9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L1" sqref="L1:V18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ht="12.75">
      <c r="A3" s="92" t="s">
        <v>106</v>
      </c>
    </row>
    <row r="4" spans="1:22" ht="12.75">
      <c r="A4" s="92" t="s">
        <v>142</v>
      </c>
      <c r="B4" s="14" t="s">
        <v>242</v>
      </c>
      <c r="C4" s="59">
        <v>0.3110358835477319</v>
      </c>
      <c r="D4" s="59">
        <v>0.40589698414343456</v>
      </c>
      <c r="E4" s="59">
        <v>0.39395306859205775</v>
      </c>
      <c r="F4" s="59">
        <v>0.32589859458563075</v>
      </c>
      <c r="G4" s="14" t="s">
        <v>242</v>
      </c>
      <c r="H4" s="14" t="s">
        <v>242</v>
      </c>
      <c r="I4" s="59">
        <v>0.2953949555005724</v>
      </c>
      <c r="J4" s="59">
        <v>0.28111903141455025</v>
      </c>
      <c r="K4" s="59">
        <v>0.29587866560991427</v>
      </c>
      <c r="L4" s="59">
        <v>0.27057074526533514</v>
      </c>
      <c r="M4" s="59">
        <v>0.27110472541507025</v>
      </c>
      <c r="N4" s="59">
        <v>0.25889328063241107</v>
      </c>
      <c r="O4" s="59">
        <v>0.24802150216514857</v>
      </c>
      <c r="P4" s="59">
        <v>0.2378825804983502</v>
      </c>
      <c r="Q4" s="59">
        <v>0.22082926148261903</v>
      </c>
      <c r="R4" s="59">
        <v>0.22356119475473532</v>
      </c>
      <c r="S4" s="59">
        <v>0.21299810246679318</v>
      </c>
      <c r="T4" s="59">
        <v>0.21298977748075543</v>
      </c>
      <c r="U4" s="59">
        <v>0.19182030512349052</v>
      </c>
      <c r="V4" s="59">
        <v>0.16043956043956045</v>
      </c>
    </row>
    <row r="5" spans="1:22" ht="12.75">
      <c r="A5" s="92" t="s">
        <v>250</v>
      </c>
      <c r="B5" s="14" t="s">
        <v>242</v>
      </c>
      <c r="C5" s="59">
        <v>0.6889641164522681</v>
      </c>
      <c r="D5" s="59">
        <v>0.5940511970152348</v>
      </c>
      <c r="E5" s="59">
        <v>0.6060469314079422</v>
      </c>
      <c r="F5" s="59">
        <v>0.6741014054143692</v>
      </c>
      <c r="G5" s="14" t="s">
        <v>242</v>
      </c>
      <c r="H5" s="14" t="s">
        <v>242</v>
      </c>
      <c r="I5" s="59">
        <v>0.7046050444994276</v>
      </c>
      <c r="J5" s="59">
        <v>0.7188809685854497</v>
      </c>
      <c r="K5" s="59">
        <v>0.7041213343900857</v>
      </c>
      <c r="L5" s="59">
        <v>0.7294292547346649</v>
      </c>
      <c r="M5" s="59">
        <v>0.7288633461047254</v>
      </c>
      <c r="N5" s="59">
        <v>0.741106719367589</v>
      </c>
      <c r="O5" s="59">
        <v>0.7519784978348514</v>
      </c>
      <c r="P5" s="59">
        <v>0.7621174195016498</v>
      </c>
      <c r="Q5" s="59">
        <v>0.779170738517381</v>
      </c>
      <c r="R5" s="59">
        <v>0.7764388052452647</v>
      </c>
      <c r="S5" s="59">
        <v>0.7870298024333073</v>
      </c>
      <c r="T5" s="59">
        <v>0.7870102225192446</v>
      </c>
      <c r="U5" s="59">
        <v>0.8082045420662923</v>
      </c>
      <c r="V5" s="59">
        <v>0.8395604395604396</v>
      </c>
    </row>
    <row r="7" spans="1:22" ht="12.75">
      <c r="A7" s="92" t="s">
        <v>105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s="92" t="s">
        <v>100</v>
      </c>
      <c r="B8" s="14" t="s">
        <v>242</v>
      </c>
      <c r="C8" s="14" t="s">
        <v>242</v>
      </c>
      <c r="D8" s="14" t="s">
        <v>242</v>
      </c>
      <c r="E8" s="14" t="s">
        <v>242</v>
      </c>
      <c r="F8" s="14" t="s">
        <v>242</v>
      </c>
      <c r="G8" s="14" t="s">
        <v>242</v>
      </c>
      <c r="H8" s="14" t="s">
        <v>242</v>
      </c>
      <c r="I8" s="14" t="s">
        <v>242</v>
      </c>
      <c r="J8" s="14" t="s">
        <v>242</v>
      </c>
      <c r="K8" s="14" t="s">
        <v>242</v>
      </c>
      <c r="L8" s="59">
        <v>0.8739799607478567</v>
      </c>
      <c r="M8" s="59">
        <v>0.863547429496694</v>
      </c>
      <c r="N8" s="59">
        <v>0.8344142088968551</v>
      </c>
      <c r="O8" s="59">
        <v>0.8540079051383399</v>
      </c>
      <c r="P8" s="59">
        <v>0.8435580064135223</v>
      </c>
      <c r="Q8" s="59">
        <v>0.8257279682941597</v>
      </c>
      <c r="R8" s="59">
        <v>0.8653785835267549</v>
      </c>
      <c r="S8" s="59">
        <v>0.9057472587561516</v>
      </c>
      <c r="T8" s="59">
        <v>0.9098766061594942</v>
      </c>
      <c r="U8" s="59">
        <v>0.9278395409600901</v>
      </c>
      <c r="V8" s="59">
        <v>0.9004479121514232</v>
      </c>
    </row>
    <row r="9" spans="1:22" ht="12.75">
      <c r="A9" s="92" t="s">
        <v>101</v>
      </c>
      <c r="B9" s="14" t="s">
        <v>242</v>
      </c>
      <c r="C9" s="14" t="s">
        <v>242</v>
      </c>
      <c r="D9" s="14" t="s">
        <v>242</v>
      </c>
      <c r="E9" s="14" t="s">
        <v>242</v>
      </c>
      <c r="F9" s="14" t="s">
        <v>242</v>
      </c>
      <c r="G9" s="14" t="s">
        <v>242</v>
      </c>
      <c r="H9" s="14" t="s">
        <v>242</v>
      </c>
      <c r="I9" s="14" t="s">
        <v>242</v>
      </c>
      <c r="J9" s="14" t="s">
        <v>242</v>
      </c>
      <c r="K9" s="14" t="s">
        <v>242</v>
      </c>
      <c r="L9" s="59">
        <v>0.07543986502771752</v>
      </c>
      <c r="M9" s="59">
        <v>0.09415058696532182</v>
      </c>
      <c r="N9" s="59">
        <v>0.11787518331432296</v>
      </c>
      <c r="O9" s="59">
        <v>0.09811857707509881</v>
      </c>
      <c r="P9" s="59">
        <v>0.10998891119968832</v>
      </c>
      <c r="Q9" s="59">
        <v>0.1231078328838003</v>
      </c>
      <c r="R9" s="59">
        <v>0.09268552788407251</v>
      </c>
      <c r="S9" s="59">
        <v>0.059199355340029354</v>
      </c>
      <c r="T9" s="59">
        <v>0.050071384866408324</v>
      </c>
      <c r="U9" s="59">
        <v>0.04341923254265075</v>
      </c>
      <c r="V9" s="59">
        <v>0.05878244954967972</v>
      </c>
    </row>
    <row r="10" spans="1:22" ht="12.75">
      <c r="A10" s="92" t="s">
        <v>102</v>
      </c>
      <c r="B10" s="14" t="s">
        <v>242</v>
      </c>
      <c r="C10" s="14" t="s">
        <v>242</v>
      </c>
      <c r="D10" s="14" t="s">
        <v>242</v>
      </c>
      <c r="E10" s="14" t="s">
        <v>242</v>
      </c>
      <c r="F10" s="14" t="s">
        <v>242</v>
      </c>
      <c r="G10" s="14" t="s">
        <v>242</v>
      </c>
      <c r="H10" s="14" t="s">
        <v>242</v>
      </c>
      <c r="I10" s="14" t="s">
        <v>242</v>
      </c>
      <c r="J10" s="14" t="s">
        <v>242</v>
      </c>
      <c r="K10" s="14" t="s">
        <v>242</v>
      </c>
      <c r="L10" s="59">
        <v>0.001928175463967221</v>
      </c>
      <c r="M10" s="59">
        <v>0.0012818782890298204</v>
      </c>
      <c r="N10" s="59">
        <v>0.002574547824670034</v>
      </c>
      <c r="O10" s="59">
        <v>0.002181818181818182</v>
      </c>
      <c r="P10" s="59">
        <v>0.0023676087151976504</v>
      </c>
      <c r="Q10" s="59">
        <v>0</v>
      </c>
      <c r="R10" s="59">
        <v>0.008029609183865504</v>
      </c>
      <c r="S10" s="59">
        <v>0.007971911244136185</v>
      </c>
      <c r="T10" s="59">
        <v>0.012849275953497859</v>
      </c>
      <c r="U10" s="59">
        <v>0.0028946155028433834</v>
      </c>
      <c r="V10" s="59">
        <v>0.0038530077541781053</v>
      </c>
    </row>
    <row r="11" spans="1:22" ht="12.75">
      <c r="A11" s="92" t="s">
        <v>103</v>
      </c>
      <c r="B11" s="14" t="s">
        <v>242</v>
      </c>
      <c r="C11" s="14" t="s">
        <v>242</v>
      </c>
      <c r="D11" s="14" t="s">
        <v>242</v>
      </c>
      <c r="E11" s="14" t="s">
        <v>242</v>
      </c>
      <c r="F11" s="14" t="s">
        <v>242</v>
      </c>
      <c r="G11" s="14" t="s">
        <v>242</v>
      </c>
      <c r="H11" s="14" t="s">
        <v>242</v>
      </c>
      <c r="I11" s="14" t="s">
        <v>242</v>
      </c>
      <c r="J11" s="14" t="s">
        <v>242</v>
      </c>
      <c r="K11" s="14" t="s">
        <v>242</v>
      </c>
      <c r="L11" s="59">
        <v>0.020142547257514718</v>
      </c>
      <c r="M11" s="59">
        <v>0.012211577384968291</v>
      </c>
      <c r="N11" s="59">
        <v>0.015056216392374124</v>
      </c>
      <c r="O11" s="59">
        <v>0.013723320158102768</v>
      </c>
      <c r="P11" s="59">
        <v>0.009949950549944556</v>
      </c>
      <c r="Q11" s="59">
        <v>0.010183299389002037</v>
      </c>
      <c r="R11" s="59">
        <v>0.01179348848880246</v>
      </c>
      <c r="S11" s="59">
        <v>0.01044694506000518</v>
      </c>
      <c r="T11" s="59">
        <v>0.00973893534570671</v>
      </c>
      <c r="U11" s="59">
        <v>0.007326194989497413</v>
      </c>
      <c r="V11" s="59">
        <v>0.012450031305688003</v>
      </c>
    </row>
    <row r="12" spans="1:22" ht="12.75">
      <c r="A12" s="92" t="s">
        <v>104</v>
      </c>
      <c r="B12" s="14" t="s">
        <v>242</v>
      </c>
      <c r="C12" s="14" t="s">
        <v>242</v>
      </c>
      <c r="D12" s="14" t="s">
        <v>242</v>
      </c>
      <c r="E12" s="14" t="s">
        <v>242</v>
      </c>
      <c r="F12" s="14" t="s">
        <v>242</v>
      </c>
      <c r="G12" s="14" t="s">
        <v>242</v>
      </c>
      <c r="H12" s="14" t="s">
        <v>242</v>
      </c>
      <c r="I12" s="14" t="s">
        <v>242</v>
      </c>
      <c r="J12" s="14" t="s">
        <v>242</v>
      </c>
      <c r="K12" s="14" t="s">
        <v>242</v>
      </c>
      <c r="L12" s="59">
        <v>0.010432806528251213</v>
      </c>
      <c r="M12" s="59">
        <v>0.007691269734178923</v>
      </c>
      <c r="N12" s="59">
        <v>0.007430340557275541</v>
      </c>
      <c r="O12" s="59">
        <v>0.008632411067193676</v>
      </c>
      <c r="P12" s="59">
        <v>0.009140767824497258</v>
      </c>
      <c r="Q12" s="59">
        <v>0.01612814443771674</v>
      </c>
      <c r="R12" s="59">
        <v>0.010287936766827677</v>
      </c>
      <c r="S12" s="59">
        <v>0.008691397818516706</v>
      </c>
      <c r="T12" s="59">
        <v>0.009101570467060983</v>
      </c>
      <c r="U12" s="59">
        <v>0.010502587222706082</v>
      </c>
      <c r="V12" s="59">
        <v>0.012474112604151617</v>
      </c>
    </row>
    <row r="13" spans="1:22" ht="12.75">
      <c r="A13" s="92" t="s">
        <v>52</v>
      </c>
      <c r="B13" s="14" t="s">
        <v>242</v>
      </c>
      <c r="C13" s="14" t="s">
        <v>242</v>
      </c>
      <c r="D13" s="14" t="s">
        <v>242</v>
      </c>
      <c r="E13" s="14" t="s">
        <v>242</v>
      </c>
      <c r="F13" s="14" t="s">
        <v>242</v>
      </c>
      <c r="G13" s="14" t="s">
        <v>242</v>
      </c>
      <c r="H13" s="14" t="s">
        <v>242</v>
      </c>
      <c r="I13" s="14" t="s">
        <v>242</v>
      </c>
      <c r="J13" s="14" t="s">
        <v>242</v>
      </c>
      <c r="K13" s="14" t="s">
        <v>242</v>
      </c>
      <c r="L13" s="59">
        <v>0.018076644974692697</v>
      </c>
      <c r="M13" s="59">
        <v>0.021117258129807043</v>
      </c>
      <c r="N13" s="59">
        <v>0.0226495030145022</v>
      </c>
      <c r="O13" s="59">
        <v>0.02333596837944664</v>
      </c>
      <c r="P13" s="59">
        <v>0.024994755297149878</v>
      </c>
      <c r="Q13" s="59">
        <v>0.024852754995321188</v>
      </c>
      <c r="R13" s="59">
        <v>0.011824854149676933</v>
      </c>
      <c r="S13" s="59">
        <v>0.007943131781160963</v>
      </c>
      <c r="T13" s="59">
        <v>0.008362227207831939</v>
      </c>
      <c r="U13" s="59">
        <v>0.008017828782212204</v>
      </c>
      <c r="V13" s="59">
        <v>0.011992486634879352</v>
      </c>
    </row>
    <row r="15" spans="1:22" ht="12.75">
      <c r="A15" s="92" t="s">
        <v>113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92" t="s">
        <v>111</v>
      </c>
      <c r="B16" s="14" t="s">
        <v>242</v>
      </c>
      <c r="C16" s="14" t="s">
        <v>242</v>
      </c>
      <c r="D16" s="14" t="s">
        <v>242</v>
      </c>
      <c r="E16" s="14" t="s">
        <v>242</v>
      </c>
      <c r="F16" s="14" t="s">
        <v>242</v>
      </c>
      <c r="G16" s="14" t="s">
        <v>242</v>
      </c>
      <c r="H16" s="14" t="s">
        <v>242</v>
      </c>
      <c r="I16" s="14" t="s">
        <v>242</v>
      </c>
      <c r="J16" s="14" t="s">
        <v>242</v>
      </c>
      <c r="K16" s="14" t="s">
        <v>242</v>
      </c>
      <c r="L16" s="59">
        <v>0.7400608771275935</v>
      </c>
      <c r="M16" s="59">
        <v>0.6773303414397477</v>
      </c>
      <c r="N16" s="59">
        <v>0.6725460568373336</v>
      </c>
      <c r="O16" s="59">
        <v>0.6613571834185122</v>
      </c>
      <c r="P16" s="59">
        <v>0.5756462548283406</v>
      </c>
      <c r="Q16" s="59">
        <v>0.6250608584240871</v>
      </c>
      <c r="R16" s="59">
        <v>0.8799051736159531</v>
      </c>
      <c r="S16" s="59">
        <v>0.7056629976339883</v>
      </c>
      <c r="T16" s="59">
        <v>0.6968809792756864</v>
      </c>
      <c r="U16" s="59">
        <v>0.6015843216264481</v>
      </c>
      <c r="V16" s="59">
        <v>0.5987847222222222</v>
      </c>
    </row>
    <row r="17" spans="1:22" ht="12.75">
      <c r="A17" s="92" t="s">
        <v>112</v>
      </c>
      <c r="B17" s="14" t="s">
        <v>242</v>
      </c>
      <c r="C17" s="14" t="s">
        <v>242</v>
      </c>
      <c r="D17" s="14" t="s">
        <v>242</v>
      </c>
      <c r="E17" s="14" t="s">
        <v>242</v>
      </c>
      <c r="F17" s="14" t="s">
        <v>242</v>
      </c>
      <c r="G17" s="14" t="s">
        <v>242</v>
      </c>
      <c r="H17" s="14" t="s">
        <v>242</v>
      </c>
      <c r="I17" s="14" t="s">
        <v>242</v>
      </c>
      <c r="J17" s="14" t="s">
        <v>242</v>
      </c>
      <c r="K17" s="14" t="s">
        <v>242</v>
      </c>
      <c r="L17" s="59">
        <v>0.07777363647658095</v>
      </c>
      <c r="M17" s="59">
        <v>0.14530899387470436</v>
      </c>
      <c r="N17" s="59">
        <v>0.135700586970419</v>
      </c>
      <c r="O17" s="59">
        <v>0.14775695627484384</v>
      </c>
      <c r="P17" s="59">
        <v>0.2650927851759812</v>
      </c>
      <c r="Q17" s="59">
        <v>0.25235105701473415</v>
      </c>
      <c r="R17" s="59">
        <v>0.08972249337609817</v>
      </c>
      <c r="S17" s="59">
        <v>0.2767205020059665</v>
      </c>
      <c r="T17" s="59">
        <v>0.2897484958159478</v>
      </c>
      <c r="U17" s="59">
        <v>0.3901277531022483</v>
      </c>
      <c r="V17" s="59">
        <v>0.3950954861111111</v>
      </c>
    </row>
    <row r="18" spans="1:22" ht="12.75">
      <c r="A18" s="92" t="s">
        <v>351</v>
      </c>
      <c r="B18" s="14" t="s">
        <v>242</v>
      </c>
      <c r="C18" s="14" t="s">
        <v>242</v>
      </c>
      <c r="D18" s="14" t="s">
        <v>242</v>
      </c>
      <c r="E18" s="14" t="s">
        <v>242</v>
      </c>
      <c r="F18" s="14" t="s">
        <v>242</v>
      </c>
      <c r="G18" s="14" t="s">
        <v>242</v>
      </c>
      <c r="H18" s="14" t="s">
        <v>242</v>
      </c>
      <c r="I18" s="14" t="s">
        <v>242</v>
      </c>
      <c r="J18" s="14" t="s">
        <v>242</v>
      </c>
      <c r="K18" s="14" t="s">
        <v>242</v>
      </c>
      <c r="L18" s="59">
        <v>0.18216548639582558</v>
      </c>
      <c r="M18" s="59">
        <v>0.17736066468554795</v>
      </c>
      <c r="N18" s="59">
        <v>0.19175335619224734</v>
      </c>
      <c r="O18" s="59">
        <v>0.19088586030664395</v>
      </c>
      <c r="P18" s="59">
        <v>0.15926095999567813</v>
      </c>
      <c r="Q18" s="59">
        <v>0.12258808456117873</v>
      </c>
      <c r="R18" s="59">
        <v>0.03037233300794868</v>
      </c>
      <c r="S18" s="59">
        <v>0.01761650036004526</v>
      </c>
      <c r="T18" s="59">
        <v>0.0133705249083658</v>
      </c>
      <c r="U18" s="59">
        <v>0.00828792527130363</v>
      </c>
      <c r="V18" s="59">
        <v>0.006119791666666667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27"/>
  <sheetViews>
    <sheetView workbookViewId="0" topLeftCell="Z1">
      <selection activeCell="A19" sqref="A19:IV19"/>
    </sheetView>
  </sheetViews>
  <sheetFormatPr defaultColWidth="9.140625" defaultRowHeight="12.75"/>
  <cols>
    <col min="1" max="1" width="27.00390625" style="0" customWidth="1"/>
    <col min="3" max="11" width="11.28125" style="0" bestFit="1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spans="1:22" ht="12.75">
      <c r="A3" s="18" t="s">
        <v>86</v>
      </c>
      <c r="B3" s="97">
        <v>24100</v>
      </c>
      <c r="C3" s="97">
        <v>27200</v>
      </c>
      <c r="D3" s="98">
        <v>29500</v>
      </c>
      <c r="E3" s="97">
        <v>32300</v>
      </c>
      <c r="F3" s="97">
        <v>36900</v>
      </c>
      <c r="G3" s="97">
        <v>41500</v>
      </c>
      <c r="H3" s="97">
        <v>47100</v>
      </c>
      <c r="I3" s="97">
        <v>51300</v>
      </c>
      <c r="J3" s="97">
        <v>55300</v>
      </c>
      <c r="K3" s="97">
        <v>59700</v>
      </c>
      <c r="L3" s="97">
        <v>62135</v>
      </c>
      <c r="M3" s="98">
        <v>67946</v>
      </c>
      <c r="N3" s="98">
        <v>75359</v>
      </c>
      <c r="O3" s="98">
        <v>80015</v>
      </c>
      <c r="P3" s="98">
        <v>86529</v>
      </c>
      <c r="Q3" s="98">
        <v>92507</v>
      </c>
      <c r="R3" s="99">
        <v>98815</v>
      </c>
      <c r="S3" s="99">
        <v>108300</v>
      </c>
      <c r="T3" s="99">
        <v>123887</v>
      </c>
      <c r="U3" s="99">
        <v>140201</v>
      </c>
      <c r="V3" s="99">
        <v>165344</v>
      </c>
    </row>
    <row r="4" ht="12.75">
      <c r="A4" s="92"/>
    </row>
    <row r="5" spans="1:22" ht="12.75">
      <c r="A5" s="92" t="s">
        <v>219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30" ht="12.75">
      <c r="A6" s="92" t="s">
        <v>220</v>
      </c>
      <c r="B6" s="9">
        <v>9765</v>
      </c>
      <c r="C6" s="9">
        <v>10345</v>
      </c>
      <c r="D6" s="9">
        <v>10158</v>
      </c>
      <c r="E6" s="9">
        <v>9672</v>
      </c>
      <c r="F6" s="9">
        <v>8760</v>
      </c>
      <c r="G6" s="9">
        <v>8024</v>
      </c>
      <c r="H6" s="9">
        <v>7612</v>
      </c>
      <c r="I6" s="9">
        <v>7714</v>
      </c>
      <c r="J6" s="9">
        <v>8229</v>
      </c>
      <c r="K6" s="9">
        <v>9296</v>
      </c>
      <c r="L6" s="9">
        <v>16704</v>
      </c>
      <c r="M6" s="9">
        <v>17168</v>
      </c>
      <c r="N6" s="9">
        <v>17355</v>
      </c>
      <c r="O6" s="9">
        <v>17522</v>
      </c>
      <c r="P6" s="9">
        <v>17632</v>
      </c>
      <c r="Q6" s="9">
        <v>18331</v>
      </c>
      <c r="R6" s="9">
        <v>18799</v>
      </c>
      <c r="S6" s="9">
        <v>19599</v>
      </c>
      <c r="T6" s="9">
        <v>18499</v>
      </c>
      <c r="U6" s="9">
        <v>16657</v>
      </c>
      <c r="V6" s="9">
        <v>14387</v>
      </c>
      <c r="Y6" s="9">
        <v>9765</v>
      </c>
      <c r="Z6" s="9">
        <v>10345</v>
      </c>
      <c r="AA6" s="9">
        <v>10158</v>
      </c>
      <c r="AB6" s="9">
        <v>9672</v>
      </c>
      <c r="AC6" s="9">
        <v>8760</v>
      </c>
      <c r="AD6" s="9">
        <v>8024</v>
      </c>
    </row>
    <row r="7" spans="1:30" ht="12.75">
      <c r="A7" s="92" t="s">
        <v>221</v>
      </c>
      <c r="B7" s="9">
        <v>6802</v>
      </c>
      <c r="C7" s="9">
        <v>6960</v>
      </c>
      <c r="D7" s="9">
        <v>7187</v>
      </c>
      <c r="E7" s="9">
        <v>7175</v>
      </c>
      <c r="F7" s="9">
        <v>7052</v>
      </c>
      <c r="G7" s="9">
        <v>6456</v>
      </c>
      <c r="H7" s="9">
        <v>6436</v>
      </c>
      <c r="I7" s="9">
        <v>6683</v>
      </c>
      <c r="J7" s="9">
        <v>7336</v>
      </c>
      <c r="K7" s="9">
        <v>7585</v>
      </c>
      <c r="L7" s="9">
        <v>8290</v>
      </c>
      <c r="M7" s="9">
        <v>7744</v>
      </c>
      <c r="N7" s="9">
        <v>7829</v>
      </c>
      <c r="O7" s="9">
        <v>7788</v>
      </c>
      <c r="P7" s="9">
        <v>8153</v>
      </c>
      <c r="Q7" s="9">
        <v>8377</v>
      </c>
      <c r="R7" s="9">
        <v>9528</v>
      </c>
      <c r="S7" s="9">
        <v>9832</v>
      </c>
      <c r="T7" s="9">
        <v>9848</v>
      </c>
      <c r="U7" s="9">
        <v>8598</v>
      </c>
      <c r="V7" s="9">
        <v>7559</v>
      </c>
      <c r="Y7" s="9">
        <v>16567</v>
      </c>
      <c r="Z7" s="9">
        <v>17305</v>
      </c>
      <c r="AA7" s="9">
        <v>17345</v>
      </c>
      <c r="AB7" s="9">
        <v>16847</v>
      </c>
      <c r="AC7" s="9">
        <v>15812</v>
      </c>
      <c r="AD7" s="9">
        <v>14480</v>
      </c>
    </row>
    <row r="8" spans="1:30" ht="12.75">
      <c r="A8" s="92" t="s">
        <v>222</v>
      </c>
      <c r="B8" s="9">
        <v>5025</v>
      </c>
      <c r="C8" s="9">
        <v>5344</v>
      </c>
      <c r="D8" s="9">
        <v>5468</v>
      </c>
      <c r="E8" s="9">
        <v>5770</v>
      </c>
      <c r="F8" s="9">
        <v>5817</v>
      </c>
      <c r="G8" s="9">
        <v>6088</v>
      </c>
      <c r="H8" s="9">
        <v>6113</v>
      </c>
      <c r="I8" s="9">
        <v>6090</v>
      </c>
      <c r="J8" s="9">
        <v>6392</v>
      </c>
      <c r="K8" s="9">
        <v>6275</v>
      </c>
      <c r="L8" s="9">
        <v>7102</v>
      </c>
      <c r="M8" s="9">
        <v>7171</v>
      </c>
      <c r="N8" s="9">
        <v>6992</v>
      </c>
      <c r="O8" s="9">
        <v>7068</v>
      </c>
      <c r="P8" s="9">
        <v>7097</v>
      </c>
      <c r="Q8" s="9">
        <v>7522</v>
      </c>
      <c r="R8" s="9">
        <v>7971</v>
      </c>
      <c r="S8" s="9">
        <v>8018</v>
      </c>
      <c r="T8" s="9">
        <v>8096</v>
      </c>
      <c r="U8" s="9">
        <v>7754</v>
      </c>
      <c r="V8" s="9">
        <v>7542</v>
      </c>
      <c r="Y8" s="9">
        <v>21592</v>
      </c>
      <c r="Z8" s="9">
        <v>22649</v>
      </c>
      <c r="AA8" s="9">
        <v>22813</v>
      </c>
      <c r="AB8" s="9">
        <v>22617</v>
      </c>
      <c r="AC8" s="9">
        <v>21629</v>
      </c>
      <c r="AD8" s="9">
        <v>20568</v>
      </c>
    </row>
    <row r="9" spans="1:30" ht="12.75">
      <c r="A9" s="92" t="s">
        <v>223</v>
      </c>
      <c r="B9" s="9">
        <v>3431</v>
      </c>
      <c r="C9" s="9">
        <v>3678</v>
      </c>
      <c r="D9" s="9">
        <v>3773</v>
      </c>
      <c r="E9" s="9">
        <v>3988</v>
      </c>
      <c r="F9" s="9">
        <v>4279</v>
      </c>
      <c r="G9" s="9">
        <v>4641</v>
      </c>
      <c r="H9" s="9">
        <v>4779</v>
      </c>
      <c r="I9" s="9">
        <v>4796</v>
      </c>
      <c r="J9" s="9">
        <v>4569</v>
      </c>
      <c r="K9" s="9">
        <v>4484</v>
      </c>
      <c r="L9" s="9">
        <v>4957</v>
      </c>
      <c r="M9" s="9">
        <v>5182</v>
      </c>
      <c r="N9" s="9">
        <v>5184</v>
      </c>
      <c r="O9" s="9">
        <v>5160</v>
      </c>
      <c r="P9" s="9">
        <v>5274</v>
      </c>
      <c r="Q9" s="9">
        <v>5558</v>
      </c>
      <c r="R9" s="9">
        <v>5513</v>
      </c>
      <c r="S9" s="9">
        <v>6004</v>
      </c>
      <c r="T9" s="9">
        <v>6502</v>
      </c>
      <c r="U9" s="9">
        <v>6795</v>
      </c>
      <c r="V9" s="9">
        <v>6131</v>
      </c>
      <c r="Y9" s="9">
        <v>25023</v>
      </c>
      <c r="Z9" s="9">
        <v>26327</v>
      </c>
      <c r="AA9" s="9">
        <v>26586</v>
      </c>
      <c r="AB9" s="9">
        <v>26605</v>
      </c>
      <c r="AC9" s="9">
        <v>25908</v>
      </c>
      <c r="AD9" s="9">
        <v>25209</v>
      </c>
    </row>
    <row r="10" spans="1:40" ht="12.75">
      <c r="A10" s="92" t="s">
        <v>224</v>
      </c>
      <c r="B10" s="9">
        <v>3815</v>
      </c>
      <c r="C10" s="9">
        <v>3836</v>
      </c>
      <c r="D10" s="9">
        <v>4182</v>
      </c>
      <c r="E10" s="9">
        <v>4418</v>
      </c>
      <c r="F10" s="9">
        <v>4867</v>
      </c>
      <c r="G10" s="9">
        <v>5480</v>
      </c>
      <c r="H10" s="9">
        <v>5780</v>
      </c>
      <c r="I10" s="9">
        <v>5771</v>
      </c>
      <c r="J10" s="9">
        <v>5834</v>
      </c>
      <c r="K10" s="9">
        <v>5375</v>
      </c>
      <c r="L10" s="9">
        <v>5987</v>
      </c>
      <c r="M10" s="9">
        <v>6428</v>
      </c>
      <c r="N10" s="9">
        <v>6669</v>
      </c>
      <c r="O10" s="9">
        <v>6704</v>
      </c>
      <c r="P10" s="9">
        <v>6908</v>
      </c>
      <c r="Q10" s="9">
        <v>7240</v>
      </c>
      <c r="R10" s="9">
        <v>6780</v>
      </c>
      <c r="S10" s="9">
        <v>7308</v>
      </c>
      <c r="T10" s="9">
        <v>8564</v>
      </c>
      <c r="U10" s="9">
        <v>8926</v>
      </c>
      <c r="V10" s="9">
        <v>9865</v>
      </c>
      <c r="Y10" s="9">
        <v>28838</v>
      </c>
      <c r="Z10" s="9">
        <v>30163</v>
      </c>
      <c r="AA10" s="9">
        <v>30768</v>
      </c>
      <c r="AB10" s="9">
        <v>31023</v>
      </c>
      <c r="AC10" s="9">
        <v>30775</v>
      </c>
      <c r="AD10" s="9">
        <v>30689</v>
      </c>
      <c r="AN10" s="9"/>
    </row>
    <row r="11" spans="1:40" ht="12.75">
      <c r="A11" s="92" t="s">
        <v>249</v>
      </c>
      <c r="B11" s="9">
        <v>5917</v>
      </c>
      <c r="C11" s="9">
        <v>5890</v>
      </c>
      <c r="D11" s="9">
        <v>6420</v>
      </c>
      <c r="E11" s="9">
        <v>6755</v>
      </c>
      <c r="F11" s="9">
        <v>7821</v>
      </c>
      <c r="G11" s="9">
        <v>9169</v>
      </c>
      <c r="H11" s="9">
        <v>10460</v>
      </c>
      <c r="I11" s="9">
        <v>10630</v>
      </c>
      <c r="J11" s="9">
        <v>10648</v>
      </c>
      <c r="K11" s="9">
        <v>10312</v>
      </c>
      <c r="L11" s="9">
        <v>12522</v>
      </c>
      <c r="M11" s="9">
        <v>14100</v>
      </c>
      <c r="N11" s="9">
        <v>15329</v>
      </c>
      <c r="O11" s="9">
        <v>14960</v>
      </c>
      <c r="P11" s="9">
        <v>15279</v>
      </c>
      <c r="Q11" s="9">
        <v>15294</v>
      </c>
      <c r="R11" s="9">
        <v>15758</v>
      </c>
      <c r="S11" s="9">
        <v>16843</v>
      </c>
      <c r="T11" s="9">
        <v>19202</v>
      </c>
      <c r="U11" s="9">
        <v>22201</v>
      </c>
      <c r="V11" s="9">
        <v>28604</v>
      </c>
      <c r="Y11" s="9">
        <v>34755</v>
      </c>
      <c r="Z11" s="9">
        <v>36053</v>
      </c>
      <c r="AA11" s="9">
        <v>37188</v>
      </c>
      <c r="AB11" s="9">
        <v>37778</v>
      </c>
      <c r="AC11" s="9">
        <v>38596</v>
      </c>
      <c r="AD11" s="9">
        <v>39858</v>
      </c>
      <c r="AN11" s="9"/>
    </row>
    <row r="12" spans="1:40" ht="12.75">
      <c r="A12" s="92" t="s">
        <v>248</v>
      </c>
      <c r="B12" s="9">
        <v>353</v>
      </c>
      <c r="C12" s="9">
        <v>101</v>
      </c>
      <c r="D12" s="9">
        <v>142</v>
      </c>
      <c r="E12" s="9">
        <v>156</v>
      </c>
      <c r="F12" s="9">
        <v>158</v>
      </c>
      <c r="G12" s="9">
        <v>195</v>
      </c>
      <c r="H12" s="9">
        <v>156</v>
      </c>
      <c r="I12" s="9">
        <v>261</v>
      </c>
      <c r="J12" s="9">
        <v>285</v>
      </c>
      <c r="K12" s="9">
        <v>207</v>
      </c>
      <c r="L12" s="9">
        <v>583</v>
      </c>
      <c r="M12" s="9">
        <v>372</v>
      </c>
      <c r="N12" s="9">
        <v>557</v>
      </c>
      <c r="O12" s="9">
        <v>595</v>
      </c>
      <c r="P12" s="9">
        <v>909</v>
      </c>
      <c r="Q12" s="9">
        <v>1221</v>
      </c>
      <c r="R12" s="9">
        <v>1207</v>
      </c>
      <c r="S12" s="9">
        <v>1191</v>
      </c>
      <c r="T12" s="9">
        <v>1555</v>
      </c>
      <c r="U12" s="9">
        <v>1307</v>
      </c>
      <c r="V12" s="9">
        <v>842</v>
      </c>
      <c r="AN12" s="9"/>
    </row>
    <row r="13" spans="1:40" ht="12.75">
      <c r="A13" s="92" t="s">
        <v>86</v>
      </c>
      <c r="B13" s="100">
        <v>2.080646766169154</v>
      </c>
      <c r="C13" s="100">
        <v>2.0675056137724552</v>
      </c>
      <c r="D13" s="49">
        <v>2.1</v>
      </c>
      <c r="E13" s="49">
        <v>2.2</v>
      </c>
      <c r="F13" s="49">
        <v>2.3</v>
      </c>
      <c r="G13" s="49">
        <v>2.4</v>
      </c>
      <c r="H13" s="49">
        <v>2.5</v>
      </c>
      <c r="I13" s="49">
        <v>2.5</v>
      </c>
      <c r="J13" s="49">
        <v>2.5</v>
      </c>
      <c r="K13" s="49">
        <v>2.4</v>
      </c>
      <c r="L13" s="49">
        <v>2.2</v>
      </c>
      <c r="M13" s="49">
        <v>2.3</v>
      </c>
      <c r="N13" s="49">
        <v>2.3</v>
      </c>
      <c r="O13" s="49">
        <v>2.3</v>
      </c>
      <c r="P13" s="30">
        <v>2.3</v>
      </c>
      <c r="Q13" s="30">
        <v>2.3</v>
      </c>
      <c r="R13" s="30">
        <v>2.2</v>
      </c>
      <c r="S13" s="30">
        <v>2.3</v>
      </c>
      <c r="T13" s="30">
        <v>2.4</v>
      </c>
      <c r="U13" s="30">
        <v>2.7</v>
      </c>
      <c r="V13" s="30">
        <v>3.1</v>
      </c>
      <c r="AN13" s="9"/>
    </row>
    <row r="14" ht="12.75">
      <c r="A14" s="92"/>
    </row>
    <row r="15" spans="1:40" ht="12.75">
      <c r="A15" s="92" t="s">
        <v>225</v>
      </c>
      <c r="B15" s="14" t="s">
        <v>242</v>
      </c>
      <c r="C15" s="14" t="s">
        <v>242</v>
      </c>
      <c r="D15" s="14" t="s">
        <v>242</v>
      </c>
      <c r="E15" s="14" t="s">
        <v>242</v>
      </c>
      <c r="F15" s="9">
        <v>2427</v>
      </c>
      <c r="G15" s="9">
        <v>2814</v>
      </c>
      <c r="H15" s="9">
        <v>3100</v>
      </c>
      <c r="I15" s="9">
        <v>3021</v>
      </c>
      <c r="J15" s="9">
        <v>3128</v>
      </c>
      <c r="K15" s="9">
        <v>3119</v>
      </c>
      <c r="L15" s="9">
        <v>3501</v>
      </c>
      <c r="M15" s="9">
        <v>3867</v>
      </c>
      <c r="N15" s="9">
        <v>3931</v>
      </c>
      <c r="O15" s="9">
        <v>3987</v>
      </c>
      <c r="P15" s="9">
        <v>3988</v>
      </c>
      <c r="Q15" s="9">
        <v>3866</v>
      </c>
      <c r="R15" s="9">
        <v>3804</v>
      </c>
      <c r="S15" s="9">
        <v>4242</v>
      </c>
      <c r="T15" s="9">
        <v>4810</v>
      </c>
      <c r="U15" s="9">
        <v>5400</v>
      </c>
      <c r="V15" s="9">
        <v>6287</v>
      </c>
      <c r="AA15" s="49">
        <v>2.1</v>
      </c>
      <c r="AB15" s="49">
        <v>2.2</v>
      </c>
      <c r="AC15" s="49">
        <v>2.3</v>
      </c>
      <c r="AD15" s="49">
        <v>2.4</v>
      </c>
      <c r="AN15" s="9"/>
    </row>
    <row r="16" spans="1:40" ht="12.75">
      <c r="A16" s="92" t="s">
        <v>226</v>
      </c>
      <c r="B16" s="14" t="s">
        <v>242</v>
      </c>
      <c r="C16" s="14" t="s">
        <v>242</v>
      </c>
      <c r="D16" s="14" t="s">
        <v>242</v>
      </c>
      <c r="E16" s="14" t="s">
        <v>242</v>
      </c>
      <c r="F16" s="9">
        <v>5394</v>
      </c>
      <c r="G16" s="9">
        <v>6355</v>
      </c>
      <c r="H16" s="9">
        <v>7360</v>
      </c>
      <c r="I16" s="9">
        <v>7609</v>
      </c>
      <c r="J16" s="9">
        <v>7520</v>
      </c>
      <c r="K16" s="9">
        <v>7193</v>
      </c>
      <c r="L16" s="9">
        <v>9021</v>
      </c>
      <c r="M16" s="9">
        <v>10233</v>
      </c>
      <c r="N16" s="9">
        <v>11398</v>
      </c>
      <c r="O16" s="9">
        <v>10973</v>
      </c>
      <c r="P16" s="9">
        <v>11291</v>
      </c>
      <c r="Q16" s="9">
        <v>11428</v>
      </c>
      <c r="R16" s="9">
        <v>11954</v>
      </c>
      <c r="S16" s="9">
        <v>12601</v>
      </c>
      <c r="T16" s="9">
        <v>14392</v>
      </c>
      <c r="U16" s="9">
        <v>16801</v>
      </c>
      <c r="V16" s="9">
        <v>22317</v>
      </c>
      <c r="AN16" s="9"/>
    </row>
    <row r="17" spans="1:40" ht="12.75">
      <c r="A17" s="92"/>
      <c r="B17" s="14"/>
      <c r="C17" s="14"/>
      <c r="D17" s="14"/>
      <c r="E17" s="14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AN17" s="9"/>
    </row>
    <row r="18" spans="1:41" ht="12.75">
      <c r="A18" s="92" t="s">
        <v>98</v>
      </c>
      <c r="B18" s="9">
        <v>12607</v>
      </c>
      <c r="C18" s="9">
        <v>13195</v>
      </c>
      <c r="D18" s="9">
        <v>13829</v>
      </c>
      <c r="E18" s="9">
        <v>13845</v>
      </c>
      <c r="F18" s="9">
        <v>13865</v>
      </c>
      <c r="G18" s="9">
        <v>14465</v>
      </c>
      <c r="H18" s="9">
        <v>14891</v>
      </c>
      <c r="I18" s="9">
        <v>14867</v>
      </c>
      <c r="J18" s="9">
        <v>15376</v>
      </c>
      <c r="K18" s="9">
        <v>15777</v>
      </c>
      <c r="L18" s="9">
        <v>23950</v>
      </c>
      <c r="M18" s="9">
        <v>25097</v>
      </c>
      <c r="N18" s="9">
        <v>25429</v>
      </c>
      <c r="O18" s="9">
        <v>24454</v>
      </c>
      <c r="P18" s="9">
        <v>24068</v>
      </c>
      <c r="Q18" s="9">
        <v>24518</v>
      </c>
      <c r="R18" s="9">
        <v>25453</v>
      </c>
      <c r="S18" s="9">
        <v>25604</v>
      </c>
      <c r="T18" s="9">
        <v>25675</v>
      </c>
      <c r="U18" s="9">
        <v>25020</v>
      </c>
      <c r="V18" s="9">
        <v>24776</v>
      </c>
      <c r="AO18" s="9"/>
    </row>
    <row r="19" spans="1:41" ht="12.75">
      <c r="A19" s="92" t="s">
        <v>269</v>
      </c>
      <c r="B19" s="9">
        <v>21695</v>
      </c>
      <c r="C19" s="9">
        <v>22959</v>
      </c>
      <c r="D19" s="9">
        <v>23501</v>
      </c>
      <c r="E19" s="9">
        <v>24089</v>
      </c>
      <c r="F19" s="9">
        <v>24889</v>
      </c>
      <c r="G19" s="9">
        <v>25589</v>
      </c>
      <c r="H19" s="9">
        <v>26446</v>
      </c>
      <c r="I19" s="9">
        <v>27079</v>
      </c>
      <c r="J19" s="9">
        <v>27917</v>
      </c>
      <c r="K19" s="9">
        <v>27758</v>
      </c>
      <c r="L19" s="9">
        <v>32195</v>
      </c>
      <c r="M19" s="9">
        <v>33067</v>
      </c>
      <c r="N19" s="9">
        <v>34487</v>
      </c>
      <c r="O19" s="9">
        <v>35342</v>
      </c>
      <c r="P19" s="9">
        <v>37183</v>
      </c>
      <c r="Q19" s="9">
        <v>39026</v>
      </c>
      <c r="R19" s="9">
        <v>40034</v>
      </c>
      <c r="S19" s="9">
        <v>43192</v>
      </c>
      <c r="T19" s="9">
        <v>46590</v>
      </c>
      <c r="U19" s="9">
        <v>47218</v>
      </c>
      <c r="V19" s="9">
        <v>50154</v>
      </c>
      <c r="AO19" s="9"/>
    </row>
    <row r="23" spans="1:22" ht="12.75">
      <c r="A23" t="s">
        <v>72</v>
      </c>
      <c r="B23" s="9">
        <v>44653</v>
      </c>
      <c r="C23" s="9">
        <v>45784</v>
      </c>
      <c r="D23" s="9">
        <v>46867</v>
      </c>
      <c r="E23" s="9">
        <v>47904</v>
      </c>
      <c r="F23" s="9">
        <v>48765</v>
      </c>
      <c r="G23" s="9">
        <v>50283</v>
      </c>
      <c r="H23" s="9">
        <v>51411</v>
      </c>
      <c r="I23" s="9">
        <v>52516</v>
      </c>
      <c r="J23" s="9">
        <v>54342</v>
      </c>
      <c r="K23" s="9">
        <v>54724</v>
      </c>
      <c r="L23" s="9">
        <v>56145</v>
      </c>
      <c r="M23" s="9">
        <v>58164</v>
      </c>
      <c r="N23" s="9">
        <v>59916</v>
      </c>
      <c r="O23" s="9">
        <v>59796</v>
      </c>
      <c r="P23" s="9">
        <v>61252</v>
      </c>
      <c r="Q23" s="9">
        <v>63544</v>
      </c>
      <c r="R23" s="9">
        <v>65487</v>
      </c>
      <c r="S23" s="9">
        <v>68796</v>
      </c>
      <c r="T23" s="9">
        <v>72265</v>
      </c>
      <c r="U23" s="9">
        <v>72238</v>
      </c>
      <c r="V23" s="9">
        <v>74931</v>
      </c>
    </row>
    <row r="24" spans="1:22" ht="12.75">
      <c r="A24" t="s">
        <v>228</v>
      </c>
      <c r="B24" s="9" t="s">
        <v>242</v>
      </c>
      <c r="C24" s="9" t="s">
        <v>242</v>
      </c>
      <c r="D24" s="9" t="s">
        <v>242</v>
      </c>
      <c r="E24" s="9" t="s">
        <v>242</v>
      </c>
      <c r="F24" s="9" t="s">
        <v>242</v>
      </c>
      <c r="G24" s="9" t="s">
        <v>242</v>
      </c>
      <c r="H24" s="9" t="s">
        <v>242</v>
      </c>
      <c r="I24" s="9" t="s">
        <v>242</v>
      </c>
      <c r="J24" s="9" t="s">
        <v>242</v>
      </c>
      <c r="K24" s="9" t="s">
        <v>242</v>
      </c>
      <c r="L24" s="9"/>
      <c r="M24" s="9"/>
      <c r="N24" s="9"/>
      <c r="O24" s="9"/>
      <c r="P24" s="9"/>
      <c r="Q24" s="9"/>
      <c r="R24" s="9">
        <v>35855</v>
      </c>
      <c r="S24" s="9">
        <v>38883</v>
      </c>
      <c r="T24" s="9">
        <v>43378</v>
      </c>
      <c r="U24" s="9">
        <v>43678</v>
      </c>
      <c r="V24" s="9">
        <v>46079</v>
      </c>
    </row>
    <row r="25" spans="1:22" ht="12.75">
      <c r="A25" t="s">
        <v>383</v>
      </c>
      <c r="B25" s="9">
        <f>SUM(B6:B12)</f>
        <v>35108</v>
      </c>
      <c r="C25" s="9">
        <f aca="true" t="shared" si="0" ref="C25:V25">SUM(C6:C12)</f>
        <v>36154</v>
      </c>
      <c r="D25" s="9">
        <f t="shared" si="0"/>
        <v>37330</v>
      </c>
      <c r="E25" s="9">
        <f t="shared" si="0"/>
        <v>37934</v>
      </c>
      <c r="F25" s="9">
        <f t="shared" si="0"/>
        <v>38754</v>
      </c>
      <c r="G25" s="9">
        <f t="shared" si="0"/>
        <v>40053</v>
      </c>
      <c r="H25" s="9">
        <f t="shared" si="0"/>
        <v>41336</v>
      </c>
      <c r="I25" s="9">
        <f t="shared" si="0"/>
        <v>41945</v>
      </c>
      <c r="J25" s="9">
        <f t="shared" si="0"/>
        <v>43293</v>
      </c>
      <c r="K25" s="9">
        <f t="shared" si="0"/>
        <v>43534</v>
      </c>
      <c r="L25" s="9">
        <f t="shared" si="0"/>
        <v>56145</v>
      </c>
      <c r="M25" s="9">
        <f t="shared" si="0"/>
        <v>58165</v>
      </c>
      <c r="N25" s="9">
        <f t="shared" si="0"/>
        <v>59915</v>
      </c>
      <c r="O25" s="9">
        <f t="shared" si="0"/>
        <v>59797</v>
      </c>
      <c r="P25" s="9">
        <f t="shared" si="0"/>
        <v>61252</v>
      </c>
      <c r="Q25" s="9">
        <f t="shared" si="0"/>
        <v>63543</v>
      </c>
      <c r="R25" s="9">
        <f t="shared" si="0"/>
        <v>65556</v>
      </c>
      <c r="S25" s="9">
        <f t="shared" si="0"/>
        <v>68795</v>
      </c>
      <c r="T25" s="9">
        <f t="shared" si="0"/>
        <v>72266</v>
      </c>
      <c r="U25" s="9">
        <f t="shared" si="0"/>
        <v>72238</v>
      </c>
      <c r="V25" s="9">
        <f t="shared" si="0"/>
        <v>74930</v>
      </c>
    </row>
    <row r="26" spans="1:22" ht="12.75">
      <c r="A26" t="s">
        <v>382</v>
      </c>
      <c r="B26" s="9">
        <f>SUM(B18:B19)</f>
        <v>34302</v>
      </c>
      <c r="C26" s="9">
        <f aca="true" t="shared" si="1" ref="C26:V26">SUM(C18:C19)</f>
        <v>36154</v>
      </c>
      <c r="D26" s="9">
        <f t="shared" si="1"/>
        <v>37330</v>
      </c>
      <c r="E26" s="9">
        <f t="shared" si="1"/>
        <v>37934</v>
      </c>
      <c r="F26" s="9">
        <f t="shared" si="1"/>
        <v>38754</v>
      </c>
      <c r="G26" s="9">
        <f t="shared" si="1"/>
        <v>40054</v>
      </c>
      <c r="H26" s="9">
        <f t="shared" si="1"/>
        <v>41337</v>
      </c>
      <c r="I26" s="9">
        <f t="shared" si="1"/>
        <v>41946</v>
      </c>
      <c r="J26" s="9">
        <f t="shared" si="1"/>
        <v>43293</v>
      </c>
      <c r="K26" s="9">
        <f t="shared" si="1"/>
        <v>43535</v>
      </c>
      <c r="L26" s="9">
        <f t="shared" si="1"/>
        <v>56145</v>
      </c>
      <c r="M26" s="9">
        <f t="shared" si="1"/>
        <v>58164</v>
      </c>
      <c r="N26" s="9">
        <f t="shared" si="1"/>
        <v>59916</v>
      </c>
      <c r="O26" s="9">
        <f t="shared" si="1"/>
        <v>59796</v>
      </c>
      <c r="P26" s="9">
        <f t="shared" si="1"/>
        <v>61251</v>
      </c>
      <c r="Q26" s="9">
        <f t="shared" si="1"/>
        <v>63544</v>
      </c>
      <c r="R26" s="9">
        <f t="shared" si="1"/>
        <v>65487</v>
      </c>
      <c r="S26" s="9">
        <f t="shared" si="1"/>
        <v>68796</v>
      </c>
      <c r="T26" s="9">
        <f t="shared" si="1"/>
        <v>72265</v>
      </c>
      <c r="U26" s="9">
        <f t="shared" si="1"/>
        <v>72238</v>
      </c>
      <c r="V26" s="9">
        <f t="shared" si="1"/>
        <v>74930</v>
      </c>
    </row>
    <row r="27" ht="12.75">
      <c r="B27" s="9">
        <f>B25-B26</f>
        <v>806</v>
      </c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C30" sqref="C30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spans="1:22" ht="12.75">
      <c r="A3" s="92" t="s">
        <v>219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92" t="s">
        <v>220</v>
      </c>
      <c r="B4" s="59">
        <v>0.2809667673716012</v>
      </c>
      <c r="C4" s="59">
        <v>0.2869386736193937</v>
      </c>
      <c r="D4" s="59">
        <v>0.2731526298806066</v>
      </c>
      <c r="E4" s="59">
        <v>0.25602202339986235</v>
      </c>
      <c r="F4" s="59">
        <v>0.22696652502850037</v>
      </c>
      <c r="G4" s="59">
        <v>0.20131466706809173</v>
      </c>
      <c r="H4" s="59">
        <v>0.18484701311316173</v>
      </c>
      <c r="I4" s="59">
        <v>0.18505901544957298</v>
      </c>
      <c r="J4" s="59">
        <v>0.19133649553571427</v>
      </c>
      <c r="K4" s="59">
        <v>0.21455443487894385</v>
      </c>
      <c r="L4" s="59">
        <v>0.3006371260933732</v>
      </c>
      <c r="M4" s="59">
        <v>0.2970601976017857</v>
      </c>
      <c r="N4" s="59">
        <v>0.2923784494086728</v>
      </c>
      <c r="O4" s="59">
        <v>0.29596973075233945</v>
      </c>
      <c r="P4" s="59">
        <v>0.29219627794441777</v>
      </c>
      <c r="Q4" s="59">
        <v>0.2941336927569719</v>
      </c>
      <c r="R4" s="59">
        <v>0.29214129201697</v>
      </c>
      <c r="S4" s="59">
        <v>0.289908881131294</v>
      </c>
      <c r="T4" s="59">
        <v>0.26161417601221876</v>
      </c>
      <c r="U4" s="59">
        <v>0.23483385261733233</v>
      </c>
      <c r="V4" s="59">
        <v>0.1941879926573804</v>
      </c>
    </row>
    <row r="5" spans="1:22" ht="12.75">
      <c r="A5" s="92" t="s">
        <v>221</v>
      </c>
      <c r="B5" s="59">
        <v>0.1957128470723637</v>
      </c>
      <c r="C5" s="59">
        <v>0.1930491221257593</v>
      </c>
      <c r="D5" s="59">
        <v>0.19326126707540067</v>
      </c>
      <c r="E5" s="59">
        <v>0.18992535338027422</v>
      </c>
      <c r="F5" s="59">
        <v>0.18271323453207586</v>
      </c>
      <c r="G5" s="59">
        <v>0.1619750112900798</v>
      </c>
      <c r="H5" s="59">
        <v>0.15628946090335114</v>
      </c>
      <c r="I5" s="59">
        <v>0.16032530467325593</v>
      </c>
      <c r="J5" s="59">
        <v>0.17057291666666666</v>
      </c>
      <c r="K5" s="59">
        <v>0.17506404782237403</v>
      </c>
      <c r="L5" s="59">
        <v>0.14920269248767143</v>
      </c>
      <c r="M5" s="59">
        <v>0.13399546657899747</v>
      </c>
      <c r="N5" s="59">
        <v>0.13189460561339666</v>
      </c>
      <c r="O5" s="59">
        <v>0.13154960981047936</v>
      </c>
      <c r="P5" s="59">
        <v>0.13511094907445767</v>
      </c>
      <c r="Q5" s="59">
        <v>0.13441481338853054</v>
      </c>
      <c r="R5" s="59">
        <v>0.14806756903759188</v>
      </c>
      <c r="S5" s="59">
        <v>0.14543518135021596</v>
      </c>
      <c r="T5" s="59">
        <v>0.1392711176478907</v>
      </c>
      <c r="U5" s="59">
        <v>0.12121639339639932</v>
      </c>
      <c r="V5" s="59">
        <v>0.10202731886405356</v>
      </c>
    </row>
    <row r="6" spans="1:22" ht="12.75">
      <c r="A6" s="92" t="s">
        <v>222</v>
      </c>
      <c r="B6" s="59">
        <v>0.1445835131635736</v>
      </c>
      <c r="C6" s="59">
        <v>0.14822622250575543</v>
      </c>
      <c r="D6" s="59">
        <v>0.14703667849844035</v>
      </c>
      <c r="E6" s="59">
        <v>0.15273439568002542</v>
      </c>
      <c r="F6" s="59">
        <v>0.15071510001036376</v>
      </c>
      <c r="G6" s="59">
        <v>0.15274223493401576</v>
      </c>
      <c r="H6" s="59">
        <v>0.1484458474987858</v>
      </c>
      <c r="I6" s="59">
        <v>0.14609922272334708</v>
      </c>
      <c r="J6" s="59">
        <v>0.14862351190476192</v>
      </c>
      <c r="K6" s="59">
        <v>0.14482885960255729</v>
      </c>
      <c r="L6" s="59">
        <v>0.1278211727439617</v>
      </c>
      <c r="M6" s="59">
        <v>0.12408077102763311</v>
      </c>
      <c r="N6" s="59">
        <v>0.11779372620371306</v>
      </c>
      <c r="O6" s="59">
        <v>0.1193878585182933</v>
      </c>
      <c r="P6" s="59">
        <v>0.11761099050428385</v>
      </c>
      <c r="Q6" s="59">
        <v>0.12069574147171143</v>
      </c>
      <c r="R6" s="59">
        <v>0.1238713888327713</v>
      </c>
      <c r="S6" s="59">
        <v>0.11860244955919769</v>
      </c>
      <c r="T6" s="59">
        <v>0.11449420882182404</v>
      </c>
      <c r="U6" s="59">
        <v>0.1093175057450198</v>
      </c>
      <c r="V6" s="59">
        <v>0.10179786200194363</v>
      </c>
    </row>
    <row r="7" spans="1:22" ht="12.75">
      <c r="A7" s="92" t="s">
        <v>223</v>
      </c>
      <c r="B7" s="59">
        <v>0.0987196086893972</v>
      </c>
      <c r="C7" s="59">
        <v>0.10201647574404349</v>
      </c>
      <c r="D7" s="59">
        <v>0.10145745939550392</v>
      </c>
      <c r="E7" s="59">
        <v>0.10556408491714754</v>
      </c>
      <c r="F7" s="59">
        <v>0.11086641102704943</v>
      </c>
      <c r="G7" s="59">
        <v>0.11643835616438356</v>
      </c>
      <c r="H7" s="59">
        <v>0.11605148130160271</v>
      </c>
      <c r="I7" s="59">
        <v>0.11505613664715478</v>
      </c>
      <c r="J7" s="59">
        <v>0.10623604910714286</v>
      </c>
      <c r="K7" s="59">
        <v>0.10349204883790708</v>
      </c>
      <c r="L7" s="59">
        <v>0.0892156509844858</v>
      </c>
      <c r="M7" s="59">
        <v>0.08966483830221653</v>
      </c>
      <c r="N7" s="59">
        <v>0.08733447892449206</v>
      </c>
      <c r="O7" s="59">
        <v>0.08715921759400021</v>
      </c>
      <c r="P7" s="59">
        <v>0.08740036126808412</v>
      </c>
      <c r="Q7" s="59">
        <v>0.08918199030839832</v>
      </c>
      <c r="R7" s="59">
        <v>0.08567343703864862</v>
      </c>
      <c r="S7" s="59">
        <v>0.08881131294006271</v>
      </c>
      <c r="T7" s="59">
        <v>0.09195174725290266</v>
      </c>
      <c r="U7" s="59">
        <v>0.09579732416009926</v>
      </c>
      <c r="V7" s="59">
        <v>0.08275294244682</v>
      </c>
    </row>
    <row r="8" spans="1:22" ht="12.75">
      <c r="A8" s="92" t="s">
        <v>224</v>
      </c>
      <c r="B8" s="59">
        <v>0.10976837865055387</v>
      </c>
      <c r="C8" s="59">
        <v>0.1063989127118409</v>
      </c>
      <c r="D8" s="59">
        <v>0.11245563084866086</v>
      </c>
      <c r="E8" s="59">
        <v>0.11694637090370057</v>
      </c>
      <c r="F8" s="59">
        <v>0.12610115037827754</v>
      </c>
      <c r="G8" s="59">
        <v>0.13748808269356214</v>
      </c>
      <c r="H8" s="59">
        <v>0.14035939776590578</v>
      </c>
      <c r="I8" s="59">
        <v>0.13844640629498128</v>
      </c>
      <c r="J8" s="59">
        <v>0.13564918154761904</v>
      </c>
      <c r="K8" s="59">
        <v>0.12405659288665266</v>
      </c>
      <c r="L8" s="59">
        <v>0.1077535005939311</v>
      </c>
      <c r="M8" s="59">
        <v>0.11122454276469469</v>
      </c>
      <c r="N8" s="59">
        <v>0.11235216819973719</v>
      </c>
      <c r="O8" s="59">
        <v>0.11323941758724368</v>
      </c>
      <c r="P8" s="59">
        <v>0.11447889564655386</v>
      </c>
      <c r="Q8" s="59">
        <v>0.11617085459388338</v>
      </c>
      <c r="R8" s="59">
        <v>0.10536294270307231</v>
      </c>
      <c r="S8" s="59">
        <v>0.10810011241938347</v>
      </c>
      <c r="T8" s="59">
        <v>0.12111269816577336</v>
      </c>
      <c r="U8" s="59">
        <v>0.12584060565902075</v>
      </c>
      <c r="V8" s="59">
        <v>0.1331524673361408</v>
      </c>
    </row>
    <row r="9" spans="1:22" ht="12.75">
      <c r="A9" s="92" t="s">
        <v>249</v>
      </c>
      <c r="B9" s="59">
        <v>0.17024888505251043</v>
      </c>
      <c r="C9" s="59">
        <v>0.16337059329320722</v>
      </c>
      <c r="D9" s="59">
        <v>0.17263633430138756</v>
      </c>
      <c r="E9" s="59">
        <v>0.1788077717189899</v>
      </c>
      <c r="F9" s="59">
        <v>0.20263757902373303</v>
      </c>
      <c r="G9" s="59">
        <v>0.23004164784986703</v>
      </c>
      <c r="H9" s="59">
        <v>0.2540067994171928</v>
      </c>
      <c r="I9" s="59">
        <v>0.25501391421168795</v>
      </c>
      <c r="J9" s="59">
        <v>0.24758184523809523</v>
      </c>
      <c r="K9" s="59">
        <v>0.23800401597156506</v>
      </c>
      <c r="L9" s="59">
        <v>0.2253698570965768</v>
      </c>
      <c r="M9" s="59">
        <v>0.24397418372467253</v>
      </c>
      <c r="N9" s="59">
        <v>0.2582465716499882</v>
      </c>
      <c r="O9" s="59">
        <v>0.25269416573764397</v>
      </c>
      <c r="P9" s="59">
        <v>0.25320252556220274</v>
      </c>
      <c r="Q9" s="59">
        <v>0.24540290748050447</v>
      </c>
      <c r="R9" s="59">
        <v>0.24488337037094593</v>
      </c>
      <c r="S9" s="59">
        <v>0.24914206259984617</v>
      </c>
      <c r="T9" s="59">
        <v>0.2715560520993905</v>
      </c>
      <c r="U9" s="59">
        <v>0.31299431842212855</v>
      </c>
      <c r="V9" s="59">
        <v>0.3860814166936616</v>
      </c>
    </row>
    <row r="10" ht="12.75">
      <c r="A10" s="92"/>
    </row>
    <row r="11" spans="1:22" ht="12.75">
      <c r="A11" s="18" t="s">
        <v>225</v>
      </c>
      <c r="B11" s="14" t="s">
        <v>242</v>
      </c>
      <c r="C11" s="14" t="s">
        <v>242</v>
      </c>
      <c r="D11" s="14" t="s">
        <v>242</v>
      </c>
      <c r="E11" s="14" t="s">
        <v>242</v>
      </c>
      <c r="F11" s="31">
        <v>0.06288216395481397</v>
      </c>
      <c r="G11" s="31">
        <v>0.07060063224446786</v>
      </c>
      <c r="H11" s="31">
        <v>0.07527926177756192</v>
      </c>
      <c r="I11" s="31">
        <v>0.07247385087803473</v>
      </c>
      <c r="J11" s="31">
        <v>0.07273065476190477</v>
      </c>
      <c r="K11" s="31">
        <v>0.07198744431878505</v>
      </c>
      <c r="L11" s="31">
        <v>0.06301069075987185</v>
      </c>
      <c r="M11" s="31">
        <v>0.06691121762151125</v>
      </c>
      <c r="N11" s="31">
        <v>0.06622527713197884</v>
      </c>
      <c r="O11" s="31">
        <v>0.06734569778048038</v>
      </c>
      <c r="P11" s="31">
        <v>0.06608885869114893</v>
      </c>
      <c r="Q11" s="31">
        <v>0.06203266904142999</v>
      </c>
      <c r="R11" s="31">
        <v>0.05911513776437862</v>
      </c>
      <c r="S11" s="31">
        <v>0.06274776640435477</v>
      </c>
      <c r="T11" s="31">
        <v>0.06802336270170128</v>
      </c>
      <c r="U11" s="31">
        <v>0.07613032383584047</v>
      </c>
      <c r="V11" s="31">
        <v>0.08485854659324048</v>
      </c>
    </row>
    <row r="12" spans="1:22" ht="12.75">
      <c r="A12" s="18" t="s">
        <v>226</v>
      </c>
      <c r="B12" s="14" t="s">
        <v>242</v>
      </c>
      <c r="C12" s="14" t="s">
        <v>242</v>
      </c>
      <c r="D12" s="14" t="s">
        <v>242</v>
      </c>
      <c r="E12" s="14" t="s">
        <v>242</v>
      </c>
      <c r="F12" s="31">
        <v>0.13975541506891906</v>
      </c>
      <c r="G12" s="31">
        <v>0.15944101560539917</v>
      </c>
      <c r="H12" s="31">
        <v>0.1787275376396309</v>
      </c>
      <c r="I12" s="31">
        <v>0.1825400633336532</v>
      </c>
      <c r="J12" s="31">
        <v>0.17485119047619047</v>
      </c>
      <c r="K12" s="31">
        <v>0.16601657165278003</v>
      </c>
      <c r="L12" s="31">
        <v>0.16235916633670494</v>
      </c>
      <c r="M12" s="31">
        <v>0.17706296610316127</v>
      </c>
      <c r="N12" s="31">
        <v>0.19202129451800937</v>
      </c>
      <c r="O12" s="31">
        <v>0.18534846795716362</v>
      </c>
      <c r="P12" s="31">
        <v>0.1871136668710538</v>
      </c>
      <c r="Q12" s="31">
        <v>0.1833702384390745</v>
      </c>
      <c r="R12" s="31">
        <v>0.1857682326065673</v>
      </c>
      <c r="S12" s="31">
        <v>0.1863942961954914</v>
      </c>
      <c r="T12" s="31">
        <v>0.20353268939768918</v>
      </c>
      <c r="U12" s="31">
        <v>0.2368639945862881</v>
      </c>
      <c r="V12" s="31">
        <v>0.30122287010042115</v>
      </c>
    </row>
    <row r="13" ht="12.75">
      <c r="A13" s="92"/>
    </row>
    <row r="14" spans="1:22" ht="12.75">
      <c r="A14" s="92" t="s">
        <v>98</v>
      </c>
      <c r="B14" s="59">
        <v>0.36239807051797407</v>
      </c>
      <c r="C14" s="59">
        <v>0.4265740493365393</v>
      </c>
      <c r="D14" s="59">
        <v>0.4314868303417922</v>
      </c>
      <c r="E14" s="59">
        <v>0.42441084184525</v>
      </c>
      <c r="F14" s="59">
        <v>0.4089571208776507</v>
      </c>
      <c r="G14" s="59">
        <v>0.3929405234200258</v>
      </c>
      <c r="H14" s="59">
        <v>0.3858428805237316</v>
      </c>
      <c r="I14" s="59">
        <v>0.38867256096629865</v>
      </c>
      <c r="J14" s="59">
        <v>0.36752959011136377</v>
      </c>
      <c r="K14" s="59">
        <v>0.3649665320573104</v>
      </c>
      <c r="L14" s="59">
        <v>0.3704527189927672</v>
      </c>
      <c r="M14" s="59">
        <v>0.36497601096641535</v>
      </c>
      <c r="N14" s="59">
        <v>0.35776952056561906</v>
      </c>
      <c r="O14" s="59">
        <v>0.3611374644230289</v>
      </c>
      <c r="P14" s="59">
        <v>0.36023417277499575</v>
      </c>
      <c r="Q14" s="59">
        <v>0.35443188861870023</v>
      </c>
      <c r="R14" s="59">
        <v>0.3551613424803086</v>
      </c>
      <c r="S14" s="59">
        <v>0.36239807051797407</v>
      </c>
      <c r="T14" s="59">
        <v>0.4265740493365393</v>
      </c>
      <c r="U14" s="59">
        <v>0.4314868303417922</v>
      </c>
      <c r="V14" s="59">
        <v>0.42441084184525</v>
      </c>
    </row>
    <row r="15" spans="1:22" ht="12.75">
      <c r="A15" s="92" t="s">
        <v>269</v>
      </c>
      <c r="B15" s="59">
        <v>0.637601929482026</v>
      </c>
      <c r="C15" s="59">
        <v>0.5734259506634607</v>
      </c>
      <c r="D15" s="59">
        <v>0.5685131696582079</v>
      </c>
      <c r="E15" s="59">
        <v>0.57558915815475</v>
      </c>
      <c r="F15" s="59">
        <v>0.5910428791223493</v>
      </c>
      <c r="G15" s="59">
        <v>0.6070594765799742</v>
      </c>
      <c r="H15" s="59">
        <v>0.6141571194762684</v>
      </c>
      <c r="I15" s="59">
        <v>0.6113274390337013</v>
      </c>
      <c r="J15" s="59">
        <v>0.6324704098886362</v>
      </c>
      <c r="K15" s="59">
        <v>0.6350334679426896</v>
      </c>
      <c r="L15" s="59">
        <v>0.6295472810072328</v>
      </c>
      <c r="M15" s="59">
        <v>0.6350239890335847</v>
      </c>
      <c r="N15" s="59">
        <v>0.6422304794343809</v>
      </c>
      <c r="O15" s="59">
        <v>0.638862535576971</v>
      </c>
      <c r="P15" s="59">
        <v>0.6397658272250042</v>
      </c>
      <c r="Q15" s="59">
        <v>0.6455681113812998</v>
      </c>
      <c r="R15" s="59">
        <v>0.6448386575196914</v>
      </c>
      <c r="S15" s="59">
        <v>0.637601929482026</v>
      </c>
      <c r="T15" s="59">
        <v>0.5734259506634607</v>
      </c>
      <c r="U15" s="59">
        <v>0.5685131696582079</v>
      </c>
      <c r="V15" s="59">
        <v>0.57558915815475</v>
      </c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47"/>
  <sheetViews>
    <sheetView workbookViewId="0" topLeftCell="A20">
      <selection activeCell="D47" sqref="D47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s="7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3"/>
      <c r="N2" s="33"/>
      <c r="O2" s="33"/>
      <c r="P2" s="33"/>
      <c r="Q2" s="33"/>
      <c r="R2" s="15"/>
      <c r="S2" s="15"/>
      <c r="T2" s="15"/>
      <c r="U2" s="15"/>
      <c r="V2" s="15"/>
    </row>
    <row r="3" spans="1:22" ht="12.75">
      <c r="A3" t="s">
        <v>381</v>
      </c>
      <c r="B3" s="95">
        <v>133</v>
      </c>
      <c r="C3" s="95">
        <v>143</v>
      </c>
      <c r="D3" s="95">
        <v>156</v>
      </c>
      <c r="E3" s="95">
        <v>167</v>
      </c>
      <c r="F3" s="95">
        <v>184</v>
      </c>
      <c r="G3" s="95">
        <v>200</v>
      </c>
      <c r="H3" s="95">
        <v>217</v>
      </c>
      <c r="I3" s="95">
        <v>241</v>
      </c>
      <c r="J3" s="95">
        <v>270</v>
      </c>
      <c r="K3" s="95">
        <v>315</v>
      </c>
      <c r="L3" s="95">
        <v>364</v>
      </c>
      <c r="M3" s="95">
        <v>399</v>
      </c>
      <c r="N3" s="95">
        <v>424</v>
      </c>
      <c r="O3" s="95">
        <v>462</v>
      </c>
      <c r="P3" s="95">
        <v>487</v>
      </c>
      <c r="Q3" s="95">
        <v>523</v>
      </c>
      <c r="R3" s="95">
        <v>549</v>
      </c>
      <c r="S3" s="95">
        <v>580</v>
      </c>
      <c r="T3" s="95">
        <v>633</v>
      </c>
      <c r="U3" s="95">
        <v>651</v>
      </c>
      <c r="V3" s="95">
        <v>694</v>
      </c>
    </row>
    <row r="4" spans="2:22" ht="12.7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ht="12.75">
      <c r="A5" t="s">
        <v>378</v>
      </c>
    </row>
    <row r="6" spans="1:22" ht="12.75">
      <c r="A6" t="s">
        <v>76</v>
      </c>
      <c r="B6" s="9">
        <v>1628</v>
      </c>
      <c r="C6" s="9">
        <v>1173</v>
      </c>
      <c r="D6" s="9">
        <v>1267</v>
      </c>
      <c r="E6" s="9">
        <v>1277</v>
      </c>
      <c r="F6" s="9">
        <v>1308</v>
      </c>
      <c r="G6" s="9">
        <v>1285</v>
      </c>
      <c r="H6" s="9">
        <v>1287</v>
      </c>
      <c r="I6" s="9">
        <v>1313</v>
      </c>
      <c r="J6" s="9">
        <v>1326</v>
      </c>
      <c r="K6" s="9">
        <v>1401</v>
      </c>
      <c r="L6" s="9">
        <v>2032</v>
      </c>
      <c r="M6" s="9">
        <v>2065</v>
      </c>
      <c r="N6" s="9">
        <v>2229</v>
      </c>
      <c r="O6" s="9">
        <v>2526</v>
      </c>
      <c r="P6" s="9">
        <v>2414</v>
      </c>
      <c r="Q6" s="9">
        <v>2344</v>
      </c>
      <c r="R6" s="9">
        <v>2171</v>
      </c>
      <c r="S6" s="9">
        <v>2100</v>
      </c>
      <c r="T6" s="9">
        <v>2201</v>
      </c>
      <c r="U6" s="9">
        <v>2218</v>
      </c>
      <c r="V6" s="9">
        <v>2134</v>
      </c>
    </row>
    <row r="7" spans="1:22" ht="12.75">
      <c r="A7" t="s">
        <v>255</v>
      </c>
      <c r="B7" s="9">
        <v>1855</v>
      </c>
      <c r="C7" s="9">
        <v>1943</v>
      </c>
      <c r="D7" s="9">
        <v>1710</v>
      </c>
      <c r="E7" s="9">
        <v>1567</v>
      </c>
      <c r="F7" s="9">
        <v>1461</v>
      </c>
      <c r="G7" s="9">
        <v>1337</v>
      </c>
      <c r="H7" s="9">
        <v>1249</v>
      </c>
      <c r="I7" s="9">
        <v>1231</v>
      </c>
      <c r="J7" s="9">
        <v>1131</v>
      </c>
      <c r="K7" s="9">
        <v>1077</v>
      </c>
      <c r="L7" s="9">
        <v>1219</v>
      </c>
      <c r="M7" s="9">
        <v>1123</v>
      </c>
      <c r="N7" s="9">
        <v>1373</v>
      </c>
      <c r="O7" s="9">
        <v>1251</v>
      </c>
      <c r="P7" s="9">
        <v>1045</v>
      </c>
      <c r="Q7" s="9">
        <v>1129</v>
      </c>
      <c r="R7" s="9">
        <v>1567</v>
      </c>
      <c r="S7" s="9">
        <v>1496</v>
      </c>
      <c r="T7" s="9">
        <v>1447</v>
      </c>
      <c r="U7" s="9">
        <v>1356</v>
      </c>
      <c r="V7" s="9">
        <v>1178</v>
      </c>
    </row>
    <row r="8" spans="1:22" ht="12.75">
      <c r="A8" t="s">
        <v>190</v>
      </c>
      <c r="B8" s="9">
        <v>3849</v>
      </c>
      <c r="C8" s="9">
        <v>3803</v>
      </c>
      <c r="D8" s="9">
        <v>3599</v>
      </c>
      <c r="E8" s="9">
        <v>3529</v>
      </c>
      <c r="F8" s="9">
        <v>3229</v>
      </c>
      <c r="G8" s="9">
        <v>3277</v>
      </c>
      <c r="H8" s="9">
        <v>2962</v>
      </c>
      <c r="I8" s="9">
        <v>2833</v>
      </c>
      <c r="J8" s="9">
        <v>2852</v>
      </c>
      <c r="K8" s="9">
        <v>2792</v>
      </c>
      <c r="L8" s="9">
        <v>3012</v>
      </c>
      <c r="M8" s="9">
        <v>2634</v>
      </c>
      <c r="N8" s="9">
        <v>3218</v>
      </c>
      <c r="O8" s="9">
        <v>2735</v>
      </c>
      <c r="P8" s="9">
        <v>2848</v>
      </c>
      <c r="Q8" s="9">
        <v>2741</v>
      </c>
      <c r="R8" s="9">
        <v>2900</v>
      </c>
      <c r="S8" s="9">
        <v>3122</v>
      </c>
      <c r="T8" s="9">
        <v>2850</v>
      </c>
      <c r="U8" s="9">
        <v>2542</v>
      </c>
      <c r="V8" s="9">
        <v>2359</v>
      </c>
    </row>
    <row r="9" spans="1:22" ht="12.75">
      <c r="A9" t="s">
        <v>200</v>
      </c>
      <c r="B9" s="9">
        <v>4238</v>
      </c>
      <c r="C9" s="9">
        <v>4240</v>
      </c>
      <c r="D9" s="9">
        <v>4095</v>
      </c>
      <c r="E9" s="9">
        <v>4146</v>
      </c>
      <c r="F9" s="9">
        <v>4152</v>
      </c>
      <c r="G9" s="9">
        <v>4081</v>
      </c>
      <c r="H9" s="9">
        <v>4109</v>
      </c>
      <c r="I9" s="9">
        <v>4015</v>
      </c>
      <c r="J9" s="9">
        <v>4084</v>
      </c>
      <c r="K9" s="9">
        <v>3815</v>
      </c>
      <c r="L9" s="9">
        <v>4300</v>
      </c>
      <c r="M9" s="9">
        <v>3891</v>
      </c>
      <c r="N9" s="9">
        <v>4451</v>
      </c>
      <c r="O9" s="9">
        <v>4265</v>
      </c>
      <c r="P9" s="9">
        <v>4083</v>
      </c>
      <c r="Q9" s="9">
        <v>4035</v>
      </c>
      <c r="R9" s="9">
        <v>4139</v>
      </c>
      <c r="S9" s="9">
        <v>4226</v>
      </c>
      <c r="T9" s="9">
        <v>3966</v>
      </c>
      <c r="U9" s="9">
        <v>3521</v>
      </c>
      <c r="V9" s="9">
        <v>3462</v>
      </c>
    </row>
    <row r="10" spans="1:22" ht="12.75">
      <c r="A10" t="s">
        <v>191</v>
      </c>
      <c r="B10" s="9">
        <v>3322</v>
      </c>
      <c r="C10" s="9">
        <v>3337</v>
      </c>
      <c r="D10" s="9">
        <v>3572</v>
      </c>
      <c r="E10" s="9">
        <v>3572</v>
      </c>
      <c r="F10" s="9">
        <v>3664</v>
      </c>
      <c r="G10" s="9">
        <v>3819</v>
      </c>
      <c r="H10" s="9">
        <v>3840</v>
      </c>
      <c r="I10" s="9">
        <v>3817</v>
      </c>
      <c r="J10" s="9">
        <v>4128</v>
      </c>
      <c r="K10" s="9">
        <v>3912</v>
      </c>
      <c r="L10" s="9">
        <v>4418</v>
      </c>
      <c r="M10" s="9">
        <v>4107</v>
      </c>
      <c r="N10" s="9">
        <v>4620</v>
      </c>
      <c r="O10" s="9">
        <v>4225</v>
      </c>
      <c r="P10" s="9">
        <v>4114</v>
      </c>
      <c r="Q10" s="9">
        <v>4144</v>
      </c>
      <c r="R10" s="9">
        <v>4095</v>
      </c>
      <c r="S10" s="9">
        <v>4235</v>
      </c>
      <c r="T10" s="9">
        <v>4072</v>
      </c>
      <c r="U10" s="9">
        <v>4030</v>
      </c>
      <c r="V10" s="9">
        <v>3658</v>
      </c>
    </row>
    <row r="11" spans="1:22" ht="12.75">
      <c r="A11" t="s">
        <v>256</v>
      </c>
      <c r="B11" s="9">
        <v>3706</v>
      </c>
      <c r="C11" s="9">
        <v>3885</v>
      </c>
      <c r="D11" s="9">
        <v>3990</v>
      </c>
      <c r="E11" s="9">
        <v>4301</v>
      </c>
      <c r="F11" s="9">
        <v>4476</v>
      </c>
      <c r="G11" s="9">
        <v>4695</v>
      </c>
      <c r="H11" s="9">
        <v>4974</v>
      </c>
      <c r="I11" s="9">
        <v>4913</v>
      </c>
      <c r="J11" s="9">
        <v>5229</v>
      </c>
      <c r="K11" s="9">
        <v>5699</v>
      </c>
      <c r="L11" s="9">
        <v>6317</v>
      </c>
      <c r="M11" s="9">
        <v>6836</v>
      </c>
      <c r="N11" s="9">
        <v>7038</v>
      </c>
      <c r="O11" s="9">
        <v>6788</v>
      </c>
      <c r="P11" s="9">
        <v>6694</v>
      </c>
      <c r="Q11" s="9">
        <v>6924</v>
      </c>
      <c r="R11" s="9">
        <v>6211</v>
      </c>
      <c r="S11" s="9">
        <v>6394</v>
      </c>
      <c r="T11" s="9">
        <v>6282</v>
      </c>
      <c r="U11" s="9">
        <v>6392</v>
      </c>
      <c r="V11" s="9">
        <v>6601</v>
      </c>
    </row>
    <row r="12" spans="1:22" ht="12.75">
      <c r="A12" t="s">
        <v>328</v>
      </c>
      <c r="B12" s="9">
        <v>5468</v>
      </c>
      <c r="C12" s="9">
        <v>5781</v>
      </c>
      <c r="D12" s="9">
        <v>6556</v>
      </c>
      <c r="E12" s="9">
        <v>6866</v>
      </c>
      <c r="F12" s="9">
        <v>7383</v>
      </c>
      <c r="G12" s="9">
        <v>7622</v>
      </c>
      <c r="H12" s="9">
        <v>7956</v>
      </c>
      <c r="I12" s="9">
        <v>8482</v>
      </c>
      <c r="J12" s="9">
        <v>9117</v>
      </c>
      <c r="K12" s="9">
        <v>10236</v>
      </c>
      <c r="L12" s="9">
        <v>10317</v>
      </c>
      <c r="M12" s="9">
        <v>11708</v>
      </c>
      <c r="N12" s="9">
        <v>10410</v>
      </c>
      <c r="O12" s="9">
        <v>11014</v>
      </c>
      <c r="P12" s="9">
        <v>11766</v>
      </c>
      <c r="Q12" s="9">
        <v>12158</v>
      </c>
      <c r="R12" s="9">
        <v>11877</v>
      </c>
      <c r="S12" s="9">
        <v>11354</v>
      </c>
      <c r="T12" s="9">
        <v>11845</v>
      </c>
      <c r="U12" s="9">
        <v>12284</v>
      </c>
      <c r="V12" s="9">
        <v>13556</v>
      </c>
    </row>
    <row r="13" spans="1:22" ht="12.75">
      <c r="A13" t="s">
        <v>377</v>
      </c>
      <c r="B13" s="14" t="s">
        <v>242</v>
      </c>
      <c r="C13" s="14" t="s">
        <v>242</v>
      </c>
      <c r="D13" s="14" t="s">
        <v>242</v>
      </c>
      <c r="E13" s="14" t="s">
        <v>242</v>
      </c>
      <c r="F13" s="14" t="s">
        <v>242</v>
      </c>
      <c r="G13" s="14" t="s">
        <v>242</v>
      </c>
      <c r="H13" s="14" t="s">
        <v>242</v>
      </c>
      <c r="I13" s="14" t="s">
        <v>242</v>
      </c>
      <c r="J13" s="14" t="s">
        <v>242</v>
      </c>
      <c r="K13" s="14" t="s">
        <v>242</v>
      </c>
      <c r="L13" s="9">
        <v>663</v>
      </c>
      <c r="M13" s="9">
        <v>360</v>
      </c>
      <c r="N13" s="9">
        <v>430</v>
      </c>
      <c r="O13" s="9">
        <v>547</v>
      </c>
      <c r="P13" s="9">
        <v>507</v>
      </c>
      <c r="Q13" s="9">
        <v>674</v>
      </c>
      <c r="R13" s="9">
        <v>1041</v>
      </c>
      <c r="S13" s="9">
        <v>1079</v>
      </c>
      <c r="T13" s="9">
        <v>1334</v>
      </c>
      <c r="U13" s="9">
        <v>1261</v>
      </c>
      <c r="V13" s="9">
        <v>993</v>
      </c>
    </row>
    <row r="14" spans="1:22" ht="12.75">
      <c r="A14" t="s">
        <v>86</v>
      </c>
      <c r="B14" s="91">
        <v>0.2218676262387919</v>
      </c>
      <c r="C14" s="91">
        <v>0.22224646226415093</v>
      </c>
      <c r="D14" s="91">
        <v>0.23</v>
      </c>
      <c r="E14" s="91">
        <v>0.24</v>
      </c>
      <c r="F14" s="91">
        <v>0.25</v>
      </c>
      <c r="G14" s="91">
        <v>0.25</v>
      </c>
      <c r="H14" s="91">
        <v>0.26</v>
      </c>
      <c r="I14" s="91">
        <v>0.27</v>
      </c>
      <c r="J14" s="91">
        <v>0.27</v>
      </c>
      <c r="K14" s="91">
        <v>0.29</v>
      </c>
      <c r="L14" s="91">
        <v>0.27</v>
      </c>
      <c r="M14" s="91">
        <v>0.29</v>
      </c>
      <c r="N14" s="91">
        <v>0.27</v>
      </c>
      <c r="O14" s="91">
        <v>0.27</v>
      </c>
      <c r="P14" s="91">
        <v>0.28</v>
      </c>
      <c r="Q14" s="91">
        <v>0.28</v>
      </c>
      <c r="R14" s="91">
        <v>0.27</v>
      </c>
      <c r="S14" s="91">
        <v>0.27</v>
      </c>
      <c r="T14" s="91">
        <v>0.27</v>
      </c>
      <c r="U14" s="91">
        <v>0.28</v>
      </c>
      <c r="V14" s="91">
        <v>0.29</v>
      </c>
    </row>
    <row r="15" spans="2:22" ht="12.75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</row>
    <row r="16" spans="1:22" ht="12.75">
      <c r="A16" t="s">
        <v>194</v>
      </c>
      <c r="B16" s="14" t="s">
        <v>242</v>
      </c>
      <c r="C16" s="14" t="s">
        <v>242</v>
      </c>
      <c r="D16" s="14" t="s">
        <v>242</v>
      </c>
      <c r="E16" s="14" t="s">
        <v>242</v>
      </c>
      <c r="F16" s="14" t="s">
        <v>242</v>
      </c>
      <c r="G16" s="14" t="s">
        <v>242</v>
      </c>
      <c r="H16" s="14" t="s">
        <v>242</v>
      </c>
      <c r="I16" s="14" t="s">
        <v>242</v>
      </c>
      <c r="J16" s="14" t="s">
        <v>242</v>
      </c>
      <c r="K16" s="14" t="s">
        <v>242</v>
      </c>
      <c r="L16" s="9">
        <v>1862</v>
      </c>
      <c r="M16" s="9">
        <v>1979</v>
      </c>
      <c r="N16" s="9">
        <v>1998</v>
      </c>
      <c r="O16" s="9">
        <v>2000</v>
      </c>
      <c r="P16" s="9">
        <v>2095</v>
      </c>
      <c r="Q16" s="9">
        <v>2301</v>
      </c>
      <c r="R16" s="9">
        <v>2001</v>
      </c>
      <c r="S16" s="9">
        <v>2067</v>
      </c>
      <c r="T16" s="9">
        <v>2030</v>
      </c>
      <c r="U16" s="9">
        <v>2078</v>
      </c>
      <c r="V16" s="9">
        <v>2217</v>
      </c>
    </row>
    <row r="17" spans="1:22" ht="12.75">
      <c r="A17" t="s">
        <v>195</v>
      </c>
      <c r="B17" s="14" t="s">
        <v>242</v>
      </c>
      <c r="C17" s="14" t="s">
        <v>242</v>
      </c>
      <c r="D17" s="14" t="s">
        <v>242</v>
      </c>
      <c r="E17" s="14" t="s">
        <v>242</v>
      </c>
      <c r="F17" s="14" t="s">
        <v>242</v>
      </c>
      <c r="G17" s="14" t="s">
        <v>242</v>
      </c>
      <c r="H17" s="14" t="s">
        <v>242</v>
      </c>
      <c r="I17" s="14" t="s">
        <v>242</v>
      </c>
      <c r="J17" s="14" t="s">
        <v>242</v>
      </c>
      <c r="K17" s="14" t="s">
        <v>242</v>
      </c>
      <c r="L17" s="9">
        <v>2327</v>
      </c>
      <c r="M17" s="9">
        <v>2738</v>
      </c>
      <c r="N17" s="9">
        <v>2576</v>
      </c>
      <c r="O17" s="9">
        <v>2669</v>
      </c>
      <c r="P17" s="9">
        <v>2781</v>
      </c>
      <c r="Q17" s="9">
        <v>2793</v>
      </c>
      <c r="R17" s="9">
        <v>2517</v>
      </c>
      <c r="S17" s="9">
        <v>2577</v>
      </c>
      <c r="T17" s="9">
        <v>2722</v>
      </c>
      <c r="U17" s="9">
        <v>3017</v>
      </c>
      <c r="V17" s="9">
        <v>2809</v>
      </c>
    </row>
    <row r="18" spans="1:22" ht="12.75">
      <c r="A18" t="s">
        <v>196</v>
      </c>
      <c r="B18" s="14" t="s">
        <v>242</v>
      </c>
      <c r="C18" s="14" t="s">
        <v>242</v>
      </c>
      <c r="D18" s="14" t="s">
        <v>242</v>
      </c>
      <c r="E18" s="14" t="s">
        <v>242</v>
      </c>
      <c r="F18" s="14" t="s">
        <v>242</v>
      </c>
      <c r="G18" s="14" t="s">
        <v>242</v>
      </c>
      <c r="H18" s="14" t="s">
        <v>242</v>
      </c>
      <c r="I18" s="14" t="s">
        <v>242</v>
      </c>
      <c r="J18" s="14" t="s">
        <v>242</v>
      </c>
      <c r="K18" s="14" t="s">
        <v>242</v>
      </c>
      <c r="L18" s="9">
        <v>1469</v>
      </c>
      <c r="M18" s="9">
        <v>1752</v>
      </c>
      <c r="N18" s="9">
        <v>1547</v>
      </c>
      <c r="O18" s="9">
        <v>1707</v>
      </c>
      <c r="P18" s="9">
        <v>1615</v>
      </c>
      <c r="Q18" s="9">
        <v>1649</v>
      </c>
      <c r="R18" s="9">
        <v>1577</v>
      </c>
      <c r="S18" s="9">
        <v>1608</v>
      </c>
      <c r="T18" s="9">
        <v>1731</v>
      </c>
      <c r="U18" s="9">
        <v>1727</v>
      </c>
      <c r="V18" s="9">
        <v>1805</v>
      </c>
    </row>
    <row r="19" spans="1:22" ht="12.75">
      <c r="A19" t="s">
        <v>197</v>
      </c>
      <c r="B19" s="14" t="s">
        <v>242</v>
      </c>
      <c r="C19" s="14" t="s">
        <v>242</v>
      </c>
      <c r="D19" s="14" t="s">
        <v>242</v>
      </c>
      <c r="E19" s="14" t="s">
        <v>242</v>
      </c>
      <c r="F19" s="14" t="s">
        <v>242</v>
      </c>
      <c r="G19" s="14" t="s">
        <v>242</v>
      </c>
      <c r="H19" s="14" t="s">
        <v>242</v>
      </c>
      <c r="I19" s="14" t="s">
        <v>242</v>
      </c>
      <c r="J19" s="14" t="s">
        <v>242</v>
      </c>
      <c r="K19" s="14" t="s">
        <v>242</v>
      </c>
      <c r="L19" s="9">
        <v>1088</v>
      </c>
      <c r="M19" s="9">
        <v>1202</v>
      </c>
      <c r="N19" s="9">
        <v>1024</v>
      </c>
      <c r="O19" s="9">
        <v>1071</v>
      </c>
      <c r="P19" s="9">
        <v>1136</v>
      </c>
      <c r="Q19" s="9">
        <v>1168</v>
      </c>
      <c r="R19" s="9">
        <v>1107</v>
      </c>
      <c r="S19" s="9">
        <v>1035</v>
      </c>
      <c r="T19" s="9">
        <v>1171</v>
      </c>
      <c r="U19" s="9">
        <v>1119</v>
      </c>
      <c r="V19" s="9">
        <v>1204</v>
      </c>
    </row>
    <row r="20" spans="1:22" ht="12.75">
      <c r="A20" t="s">
        <v>303</v>
      </c>
      <c r="B20" s="14" t="s">
        <v>242</v>
      </c>
      <c r="C20" s="14" t="s">
        <v>242</v>
      </c>
      <c r="D20" s="14" t="s">
        <v>242</v>
      </c>
      <c r="E20" s="14" t="s">
        <v>242</v>
      </c>
      <c r="F20" s="14" t="s">
        <v>242</v>
      </c>
      <c r="G20" s="14" t="s">
        <v>242</v>
      </c>
      <c r="H20" s="14" t="s">
        <v>242</v>
      </c>
      <c r="I20" s="14" t="s">
        <v>242</v>
      </c>
      <c r="J20" s="14" t="s">
        <v>242</v>
      </c>
      <c r="K20" s="14" t="s">
        <v>242</v>
      </c>
      <c r="L20" s="9">
        <v>3571</v>
      </c>
      <c r="M20" s="9">
        <v>4037</v>
      </c>
      <c r="N20" s="9">
        <v>3265</v>
      </c>
      <c r="O20" s="9">
        <v>3567</v>
      </c>
      <c r="P20" s="9">
        <v>4139</v>
      </c>
      <c r="Q20" s="9">
        <v>4247</v>
      </c>
      <c r="R20" s="9">
        <v>4675</v>
      </c>
      <c r="S20" s="9">
        <v>4067</v>
      </c>
      <c r="T20" s="9">
        <v>4191</v>
      </c>
      <c r="U20" s="9">
        <v>4343</v>
      </c>
      <c r="V20" s="9">
        <v>5521</v>
      </c>
    </row>
    <row r="21" spans="2:22" ht="12.7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</row>
    <row r="22" spans="1:22" ht="12.75">
      <c r="A22" s="7"/>
      <c r="B22" s="34">
        <v>1973</v>
      </c>
      <c r="C22" s="34">
        <v>1974</v>
      </c>
      <c r="D22" s="34">
        <v>1975</v>
      </c>
      <c r="E22" s="34">
        <v>1976</v>
      </c>
      <c r="F22" s="34">
        <v>1977</v>
      </c>
      <c r="G22" s="34">
        <v>1978</v>
      </c>
      <c r="H22" s="34">
        <v>1979</v>
      </c>
      <c r="I22" s="34">
        <v>1980</v>
      </c>
      <c r="J22" s="34">
        <v>1981</v>
      </c>
      <c r="K22" s="34">
        <v>1983</v>
      </c>
      <c r="L22" s="34">
        <v>1985</v>
      </c>
      <c r="M22" s="33">
        <v>1987</v>
      </c>
      <c r="N22" s="33">
        <v>1989</v>
      </c>
      <c r="O22" s="33">
        <v>1991</v>
      </c>
      <c r="P22" s="33">
        <v>1993</v>
      </c>
      <c r="Q22" s="33">
        <v>1995</v>
      </c>
      <c r="R22" s="15">
        <v>1997</v>
      </c>
      <c r="S22" s="15">
        <v>1999</v>
      </c>
      <c r="T22" s="15">
        <v>2001</v>
      </c>
      <c r="U22" s="15">
        <v>2003</v>
      </c>
      <c r="V22" s="15">
        <v>2005</v>
      </c>
    </row>
    <row r="23" spans="2:22" ht="12.7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</row>
    <row r="24" spans="1:32" ht="12.75">
      <c r="A24" t="s">
        <v>379</v>
      </c>
      <c r="B24" s="14" t="s">
        <v>242</v>
      </c>
      <c r="C24" s="14" t="s">
        <v>242</v>
      </c>
      <c r="D24" s="14" t="s">
        <v>242</v>
      </c>
      <c r="E24" s="14" t="s">
        <v>242</v>
      </c>
      <c r="F24" s="14" t="s">
        <v>242</v>
      </c>
      <c r="G24" s="14" t="s">
        <v>242</v>
      </c>
      <c r="H24" s="14" t="s">
        <v>242</v>
      </c>
      <c r="I24" s="14" t="s">
        <v>242</v>
      </c>
      <c r="J24" s="14" t="s">
        <v>242</v>
      </c>
      <c r="K24" s="14" t="s">
        <v>242</v>
      </c>
      <c r="L24" s="95">
        <v>348</v>
      </c>
      <c r="M24" s="95">
        <v>375</v>
      </c>
      <c r="N24" s="95">
        <v>398</v>
      </c>
      <c r="O24" s="95">
        <v>455</v>
      </c>
      <c r="P24" s="95">
        <v>511</v>
      </c>
      <c r="Q24" s="95">
        <v>563</v>
      </c>
      <c r="R24" s="95">
        <v>534</v>
      </c>
      <c r="S24" s="95">
        <v>581</v>
      </c>
      <c r="T24" s="95">
        <v>686</v>
      </c>
      <c r="U24" s="95">
        <v>718</v>
      </c>
      <c r="V24" s="95">
        <v>809</v>
      </c>
      <c r="Y24" s="90"/>
      <c r="Z24" s="90"/>
      <c r="AA24" s="90"/>
      <c r="AB24" s="90"/>
      <c r="AC24" s="90"/>
      <c r="AD24" s="90"/>
      <c r="AE24" s="90"/>
      <c r="AF24" s="90"/>
    </row>
    <row r="25" spans="2:32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Y25" s="90"/>
      <c r="Z25" s="90"/>
      <c r="AA25" s="90"/>
      <c r="AB25" s="90"/>
      <c r="AC25" s="90"/>
      <c r="AD25" s="90"/>
      <c r="AE25" s="90"/>
      <c r="AF25" s="90"/>
    </row>
    <row r="26" ht="12.75">
      <c r="A26" t="s">
        <v>203</v>
      </c>
    </row>
    <row r="27" spans="1:22" ht="12.75">
      <c r="A27" t="s">
        <v>188</v>
      </c>
      <c r="B27" s="14" t="s">
        <v>242</v>
      </c>
      <c r="C27" s="9">
        <v>1514</v>
      </c>
      <c r="D27" s="9">
        <v>1397</v>
      </c>
      <c r="E27" s="9">
        <v>1288</v>
      </c>
      <c r="F27" s="9">
        <v>1266</v>
      </c>
      <c r="G27" s="9">
        <v>1233</v>
      </c>
      <c r="H27" s="9">
        <v>1246</v>
      </c>
      <c r="I27" s="9">
        <v>1302</v>
      </c>
      <c r="J27" s="9">
        <v>1322</v>
      </c>
      <c r="K27" s="9">
        <v>1306</v>
      </c>
      <c r="L27" s="9">
        <v>1877</v>
      </c>
      <c r="M27" s="9">
        <v>2336</v>
      </c>
      <c r="N27" s="9">
        <v>2832</v>
      </c>
      <c r="O27" s="9">
        <v>2538</v>
      </c>
      <c r="P27" s="9">
        <v>2237</v>
      </c>
      <c r="Q27" s="9">
        <v>2845</v>
      </c>
      <c r="R27" s="9">
        <v>4433</v>
      </c>
      <c r="S27" s="9">
        <v>5163</v>
      </c>
      <c r="T27" s="9">
        <v>4906</v>
      </c>
      <c r="U27" s="9">
        <v>5016</v>
      </c>
      <c r="V27" s="9">
        <v>4051</v>
      </c>
    </row>
    <row r="28" spans="1:22" ht="12.75">
      <c r="A28" t="s">
        <v>189</v>
      </c>
      <c r="B28" s="14" t="s">
        <v>242</v>
      </c>
      <c r="C28" s="9">
        <v>6348</v>
      </c>
      <c r="D28" s="9">
        <v>6263</v>
      </c>
      <c r="E28" s="9">
        <v>6059</v>
      </c>
      <c r="F28" s="9">
        <v>6053</v>
      </c>
      <c r="G28" s="9">
        <v>6226</v>
      </c>
      <c r="H28" s="9">
        <v>6537</v>
      </c>
      <c r="I28" s="9">
        <v>6438</v>
      </c>
      <c r="J28" s="9">
        <v>7018</v>
      </c>
      <c r="K28" s="9">
        <v>6699</v>
      </c>
      <c r="L28" s="9">
        <v>8986</v>
      </c>
      <c r="M28" s="9">
        <v>9099</v>
      </c>
      <c r="N28" s="9">
        <v>9770</v>
      </c>
      <c r="O28" s="9">
        <v>8771</v>
      </c>
      <c r="P28" s="9">
        <v>8072</v>
      </c>
      <c r="Q28" s="9">
        <v>9570</v>
      </c>
      <c r="R28" s="9">
        <v>11438</v>
      </c>
      <c r="S28" s="9">
        <v>11992</v>
      </c>
      <c r="T28" s="9">
        <v>11131</v>
      </c>
      <c r="U28" s="9">
        <v>11223</v>
      </c>
      <c r="V28" s="9">
        <v>10761</v>
      </c>
    </row>
    <row r="29" spans="1:22" ht="12.75">
      <c r="A29" t="s">
        <v>190</v>
      </c>
      <c r="B29" s="14" t="s">
        <v>242</v>
      </c>
      <c r="C29" s="9">
        <v>7743</v>
      </c>
      <c r="D29" s="9">
        <v>7644</v>
      </c>
      <c r="E29" s="9">
        <v>7744</v>
      </c>
      <c r="F29" s="9">
        <v>7662</v>
      </c>
      <c r="G29" s="9">
        <v>7683</v>
      </c>
      <c r="H29" s="9">
        <v>7867</v>
      </c>
      <c r="I29" s="9">
        <v>7940</v>
      </c>
      <c r="J29" s="9">
        <v>8198</v>
      </c>
      <c r="K29" s="9">
        <v>8057</v>
      </c>
      <c r="L29" s="9">
        <v>9729</v>
      </c>
      <c r="M29" s="9">
        <v>9799</v>
      </c>
      <c r="N29" s="9">
        <v>9609</v>
      </c>
      <c r="O29" s="9">
        <v>9525</v>
      </c>
      <c r="P29" s="9">
        <v>9753</v>
      </c>
      <c r="Q29" s="9">
        <v>11260</v>
      </c>
      <c r="R29" s="9">
        <v>11246</v>
      </c>
      <c r="S29" s="9">
        <v>11948</v>
      </c>
      <c r="T29" s="9">
        <v>12316</v>
      </c>
      <c r="U29" s="9">
        <v>11917</v>
      </c>
      <c r="V29" s="9">
        <v>11412</v>
      </c>
    </row>
    <row r="30" spans="1:22" ht="12.75">
      <c r="A30" t="s">
        <v>200</v>
      </c>
      <c r="B30" s="14" t="s">
        <v>242</v>
      </c>
      <c r="C30" s="9">
        <v>6325</v>
      </c>
      <c r="D30" s="9">
        <v>6553</v>
      </c>
      <c r="E30" s="9">
        <v>6501</v>
      </c>
      <c r="F30" s="9">
        <v>6775</v>
      </c>
      <c r="G30" s="9">
        <v>6674</v>
      </c>
      <c r="H30" s="9">
        <v>6749</v>
      </c>
      <c r="I30" s="9">
        <v>6925</v>
      </c>
      <c r="J30" s="9">
        <v>6900</v>
      </c>
      <c r="K30" s="9">
        <v>6704</v>
      </c>
      <c r="L30" s="9">
        <v>8441</v>
      </c>
      <c r="M30" s="9">
        <v>8605</v>
      </c>
      <c r="N30" s="9">
        <v>8740</v>
      </c>
      <c r="O30" s="9">
        <v>8928</v>
      </c>
      <c r="P30" s="9">
        <v>9892</v>
      </c>
      <c r="Q30" s="9">
        <v>10637</v>
      </c>
      <c r="R30" s="9">
        <v>10232</v>
      </c>
      <c r="S30" s="9">
        <v>11108</v>
      </c>
      <c r="T30" s="9">
        <v>10913</v>
      </c>
      <c r="U30" s="9">
        <v>11165</v>
      </c>
      <c r="V30" s="9">
        <v>11499</v>
      </c>
    </row>
    <row r="31" spans="1:22" ht="12.75">
      <c r="A31" t="s">
        <v>191</v>
      </c>
      <c r="B31" s="14" t="s">
        <v>242</v>
      </c>
      <c r="C31" s="9">
        <v>3979</v>
      </c>
      <c r="D31" s="9">
        <v>4207</v>
      </c>
      <c r="E31" s="9">
        <v>4511</v>
      </c>
      <c r="F31" s="9">
        <v>4644</v>
      </c>
      <c r="G31" s="9">
        <v>4972</v>
      </c>
      <c r="H31" s="9">
        <v>5171</v>
      </c>
      <c r="I31" s="9">
        <v>5045</v>
      </c>
      <c r="J31" s="9">
        <v>5071</v>
      </c>
      <c r="K31" s="9">
        <v>4957</v>
      </c>
      <c r="L31" s="9">
        <v>6472</v>
      </c>
      <c r="M31" s="9">
        <v>6991</v>
      </c>
      <c r="N31" s="9">
        <v>6838</v>
      </c>
      <c r="O31" s="9">
        <v>7022</v>
      </c>
      <c r="P31" s="9">
        <v>7511</v>
      </c>
      <c r="Q31" s="9">
        <v>8174</v>
      </c>
      <c r="R31" s="9">
        <v>7556</v>
      </c>
      <c r="S31" s="9">
        <v>7761</v>
      </c>
      <c r="T31" s="9">
        <v>8544</v>
      </c>
      <c r="U31" s="9">
        <v>8476</v>
      </c>
      <c r="V31" s="9">
        <v>8947</v>
      </c>
    </row>
    <row r="32" spans="1:22" ht="12.75">
      <c r="A32" t="s">
        <v>192</v>
      </c>
      <c r="B32" s="14" t="s">
        <v>242</v>
      </c>
      <c r="C32" s="9">
        <v>2332</v>
      </c>
      <c r="D32" s="9">
        <v>2416</v>
      </c>
      <c r="E32" s="9">
        <v>2612</v>
      </c>
      <c r="F32" s="9">
        <v>2852</v>
      </c>
      <c r="G32" s="9">
        <v>3093</v>
      </c>
      <c r="H32" s="9">
        <v>3185</v>
      </c>
      <c r="I32" s="9">
        <v>3263</v>
      </c>
      <c r="J32" s="9">
        <v>3302</v>
      </c>
      <c r="K32" s="9">
        <v>3512</v>
      </c>
      <c r="L32" s="9">
        <v>4690</v>
      </c>
      <c r="M32" s="9">
        <v>4787</v>
      </c>
      <c r="N32" s="9">
        <v>5053</v>
      </c>
      <c r="O32" s="9">
        <v>5197</v>
      </c>
      <c r="P32" s="9">
        <v>5204</v>
      </c>
      <c r="Q32" s="9">
        <v>5523</v>
      </c>
      <c r="R32" s="9">
        <v>5198</v>
      </c>
      <c r="S32" s="9">
        <v>5503</v>
      </c>
      <c r="T32" s="9">
        <v>5932</v>
      </c>
      <c r="U32" s="9">
        <v>6148</v>
      </c>
      <c r="V32" s="9">
        <v>6788</v>
      </c>
    </row>
    <row r="33" spans="1:22" ht="12.75">
      <c r="A33" t="s">
        <v>193</v>
      </c>
      <c r="B33" s="14" t="s">
        <v>242</v>
      </c>
      <c r="C33" s="9">
        <v>1200</v>
      </c>
      <c r="D33" s="9">
        <v>1370</v>
      </c>
      <c r="E33" s="9">
        <v>1515</v>
      </c>
      <c r="F33" s="9">
        <v>1707</v>
      </c>
      <c r="G33" s="9">
        <v>1872</v>
      </c>
      <c r="H33" s="9">
        <v>1921</v>
      </c>
      <c r="I33" s="9">
        <v>1963</v>
      </c>
      <c r="J33" s="9">
        <v>2077</v>
      </c>
      <c r="K33" s="9">
        <v>2227</v>
      </c>
      <c r="L33" s="9">
        <v>3184</v>
      </c>
      <c r="M33" s="9">
        <v>3167</v>
      </c>
      <c r="N33" s="9">
        <v>3144</v>
      </c>
      <c r="O33" s="9">
        <v>3362</v>
      </c>
      <c r="P33" s="9">
        <v>3368</v>
      </c>
      <c r="Q33" s="9">
        <v>3586</v>
      </c>
      <c r="R33" s="9">
        <v>3486</v>
      </c>
      <c r="S33" s="9">
        <v>3450</v>
      </c>
      <c r="T33" s="9">
        <v>4181</v>
      </c>
      <c r="U33" s="9">
        <v>4234</v>
      </c>
      <c r="V33" s="9">
        <v>4658</v>
      </c>
    </row>
    <row r="34" spans="1:22" ht="12.75">
      <c r="A34" t="s">
        <v>194</v>
      </c>
      <c r="B34" s="14" t="s">
        <v>242</v>
      </c>
      <c r="C34" s="9">
        <v>660</v>
      </c>
      <c r="D34" s="9">
        <v>798</v>
      </c>
      <c r="E34" s="9">
        <v>874</v>
      </c>
      <c r="F34" s="9">
        <v>991</v>
      </c>
      <c r="G34" s="9">
        <v>1089</v>
      </c>
      <c r="H34" s="9">
        <v>1176</v>
      </c>
      <c r="I34" s="9">
        <v>1252</v>
      </c>
      <c r="J34" s="9">
        <v>1342</v>
      </c>
      <c r="K34" s="9">
        <v>1400</v>
      </c>
      <c r="L34" s="9">
        <v>1911</v>
      </c>
      <c r="M34" s="9">
        <v>2065</v>
      </c>
      <c r="N34" s="9">
        <v>1926</v>
      </c>
      <c r="O34" s="9">
        <v>2213</v>
      </c>
      <c r="P34" s="9">
        <v>2109</v>
      </c>
      <c r="Q34" s="9">
        <v>2402</v>
      </c>
      <c r="R34" s="9">
        <v>2109</v>
      </c>
      <c r="S34" s="9">
        <v>2428</v>
      </c>
      <c r="T34" s="9">
        <v>2728</v>
      </c>
      <c r="U34" s="9">
        <v>2782</v>
      </c>
      <c r="V34" s="9">
        <v>3344</v>
      </c>
    </row>
    <row r="35" spans="1:22" ht="12.75">
      <c r="A35" t="s">
        <v>195</v>
      </c>
      <c r="B35" s="14" t="s">
        <v>242</v>
      </c>
      <c r="C35" s="9">
        <v>733</v>
      </c>
      <c r="D35" s="9">
        <v>867</v>
      </c>
      <c r="E35" s="9">
        <v>846</v>
      </c>
      <c r="F35" s="9">
        <v>984</v>
      </c>
      <c r="G35" s="9">
        <v>1063</v>
      </c>
      <c r="H35" s="9">
        <v>1267</v>
      </c>
      <c r="I35" s="9">
        <v>1407</v>
      </c>
      <c r="J35" s="9">
        <v>1372</v>
      </c>
      <c r="K35" s="9">
        <v>1546</v>
      </c>
      <c r="L35" s="9">
        <v>2210</v>
      </c>
      <c r="M35" s="9">
        <v>2261</v>
      </c>
      <c r="N35" s="9">
        <v>2188</v>
      </c>
      <c r="O35" s="9">
        <v>2506</v>
      </c>
      <c r="P35" s="9">
        <v>2406</v>
      </c>
      <c r="Q35" s="9">
        <v>2688</v>
      </c>
      <c r="R35" s="9">
        <v>2618</v>
      </c>
      <c r="S35" s="9">
        <v>2610</v>
      </c>
      <c r="T35" s="9">
        <v>3160</v>
      </c>
      <c r="U35" s="9">
        <v>3202</v>
      </c>
      <c r="V35" s="9">
        <v>3769</v>
      </c>
    </row>
    <row r="36" spans="1:22" ht="12.75">
      <c r="A36" t="s">
        <v>258</v>
      </c>
      <c r="B36" s="14" t="s">
        <v>242</v>
      </c>
      <c r="C36" s="9">
        <v>1200</v>
      </c>
      <c r="D36" s="9">
        <v>1302</v>
      </c>
      <c r="E36" s="9">
        <v>1407</v>
      </c>
      <c r="F36" s="9">
        <v>1604</v>
      </c>
      <c r="G36" s="9">
        <v>1784</v>
      </c>
      <c r="H36" s="9">
        <v>1849</v>
      </c>
      <c r="I36" s="9">
        <v>2203</v>
      </c>
      <c r="J36" s="9">
        <v>2354</v>
      </c>
      <c r="K36" s="9">
        <v>2626</v>
      </c>
      <c r="L36" s="9">
        <v>3696</v>
      </c>
      <c r="M36" s="9">
        <v>3758</v>
      </c>
      <c r="N36" s="9">
        <v>3692</v>
      </c>
      <c r="O36" s="9">
        <v>4102</v>
      </c>
      <c r="P36" s="9">
        <v>4529</v>
      </c>
      <c r="Q36" s="9">
        <v>5689</v>
      </c>
      <c r="R36" s="9">
        <v>6034</v>
      </c>
      <c r="S36" s="9">
        <v>5641</v>
      </c>
      <c r="T36" s="9">
        <v>6897</v>
      </c>
      <c r="U36" s="9">
        <v>6767</v>
      </c>
      <c r="V36" s="9">
        <v>8859</v>
      </c>
    </row>
    <row r="37" spans="1:22" ht="12.75">
      <c r="A37" t="s">
        <v>377</v>
      </c>
      <c r="B37" s="14" t="s">
        <v>242</v>
      </c>
      <c r="C37" s="9">
        <v>79</v>
      </c>
      <c r="D37" s="9">
        <v>99</v>
      </c>
      <c r="E37" s="9">
        <v>103</v>
      </c>
      <c r="F37" s="9">
        <v>106</v>
      </c>
      <c r="G37" s="9">
        <v>79</v>
      </c>
      <c r="H37" s="9">
        <v>82</v>
      </c>
      <c r="I37" s="9">
        <v>126</v>
      </c>
      <c r="J37" s="9">
        <v>138</v>
      </c>
      <c r="K37" s="9">
        <v>109</v>
      </c>
      <c r="L37" s="9">
        <v>532</v>
      </c>
      <c r="M37" s="9">
        <v>328</v>
      </c>
      <c r="N37" s="9">
        <v>448</v>
      </c>
      <c r="O37" s="9">
        <v>440</v>
      </c>
      <c r="P37" s="9">
        <v>659</v>
      </c>
      <c r="Q37" s="9">
        <v>1169</v>
      </c>
      <c r="R37" s="9">
        <v>1138</v>
      </c>
      <c r="S37" s="9">
        <v>1191</v>
      </c>
      <c r="T37" s="9">
        <v>1555</v>
      </c>
      <c r="U37" s="9">
        <v>1307</v>
      </c>
      <c r="V37" s="9">
        <v>842</v>
      </c>
    </row>
    <row r="38" spans="1:22" ht="12.75">
      <c r="A38" t="s">
        <v>86</v>
      </c>
      <c r="B38" s="94" t="s">
        <v>242</v>
      </c>
      <c r="C38" s="28">
        <f aca="true" t="shared" si="0" ref="C38:K38">C47/100</f>
        <v>0.15325691699604743</v>
      </c>
      <c r="D38" s="28">
        <f t="shared" si="0"/>
        <v>0.15842743781474133</v>
      </c>
      <c r="E38" s="28">
        <f t="shared" si="0"/>
        <v>0.16220966005229964</v>
      </c>
      <c r="F38" s="28">
        <f t="shared" si="0"/>
        <v>0.16688560885608855</v>
      </c>
      <c r="G38" s="28">
        <f t="shared" si="0"/>
        <v>0.17024647887323943</v>
      </c>
      <c r="H38" s="28">
        <f t="shared" si="0"/>
        <v>0.17099570306712106</v>
      </c>
      <c r="I38" s="28">
        <f t="shared" si="0"/>
        <v>0.17302527075812274</v>
      </c>
      <c r="J38" s="28">
        <f t="shared" si="0"/>
        <v>0.17130434782608694</v>
      </c>
      <c r="K38" s="28">
        <f t="shared" si="0"/>
        <v>0.17576819809069213</v>
      </c>
      <c r="L38" s="94">
        <v>0.18</v>
      </c>
      <c r="M38" s="94">
        <v>0.18</v>
      </c>
      <c r="N38" s="94">
        <v>0.18</v>
      </c>
      <c r="O38" s="94">
        <v>0.18</v>
      </c>
      <c r="P38" s="94">
        <v>0.18</v>
      </c>
      <c r="Q38" s="94">
        <v>0.18</v>
      </c>
      <c r="R38" s="94">
        <v>0.17</v>
      </c>
      <c r="S38" s="94">
        <v>0.17</v>
      </c>
      <c r="T38" s="94">
        <v>0.18</v>
      </c>
      <c r="U38" s="94">
        <v>0.18</v>
      </c>
      <c r="V38" s="94">
        <v>0.19</v>
      </c>
    </row>
    <row r="40" spans="1:22" ht="12.75">
      <c r="A40" t="s">
        <v>196</v>
      </c>
      <c r="B40" s="9" t="s">
        <v>242</v>
      </c>
      <c r="C40" s="9" t="s">
        <v>242</v>
      </c>
      <c r="D40" s="9" t="s">
        <v>242</v>
      </c>
      <c r="E40" s="9" t="s">
        <v>242</v>
      </c>
      <c r="F40" s="9" t="s">
        <v>242</v>
      </c>
      <c r="G40" s="9" t="s">
        <v>242</v>
      </c>
      <c r="H40" s="9" t="s">
        <v>242</v>
      </c>
      <c r="I40" s="9" t="s">
        <v>242</v>
      </c>
      <c r="J40" s="9" t="s">
        <v>242</v>
      </c>
      <c r="K40" s="9" t="s">
        <v>242</v>
      </c>
      <c r="L40" s="9">
        <v>1047</v>
      </c>
      <c r="M40" s="9">
        <v>1119</v>
      </c>
      <c r="N40" s="9">
        <v>1015</v>
      </c>
      <c r="O40" s="9">
        <v>1210</v>
      </c>
      <c r="P40" s="9">
        <v>1291</v>
      </c>
      <c r="Q40" s="9">
        <v>1525</v>
      </c>
      <c r="R40" s="9">
        <v>1470</v>
      </c>
      <c r="S40" s="9">
        <v>1292</v>
      </c>
      <c r="T40" s="9">
        <v>1864</v>
      </c>
      <c r="U40" s="9">
        <v>1697</v>
      </c>
      <c r="V40" s="9">
        <v>2175</v>
      </c>
    </row>
    <row r="41" spans="1:22" ht="12.75">
      <c r="A41" t="s">
        <v>197</v>
      </c>
      <c r="B41" s="9" t="s">
        <v>242</v>
      </c>
      <c r="C41" s="9" t="s">
        <v>242</v>
      </c>
      <c r="D41" s="9" t="s">
        <v>242</v>
      </c>
      <c r="E41" s="9" t="s">
        <v>242</v>
      </c>
      <c r="F41" s="9" t="s">
        <v>242</v>
      </c>
      <c r="G41" s="9" t="s">
        <v>242</v>
      </c>
      <c r="H41" s="9" t="s">
        <v>242</v>
      </c>
      <c r="I41" s="9" t="s">
        <v>242</v>
      </c>
      <c r="J41" s="9" t="s">
        <v>242</v>
      </c>
      <c r="K41" s="9" t="s">
        <v>242</v>
      </c>
      <c r="L41" s="9">
        <v>676</v>
      </c>
      <c r="M41" s="9">
        <v>656</v>
      </c>
      <c r="N41" s="9">
        <v>609</v>
      </c>
      <c r="O41" s="9">
        <v>715</v>
      </c>
      <c r="P41" s="9">
        <v>829</v>
      </c>
      <c r="Q41" s="9">
        <v>950</v>
      </c>
      <c r="R41" s="9">
        <v>843</v>
      </c>
      <c r="S41" s="9">
        <v>849</v>
      </c>
      <c r="T41" s="9">
        <v>1057</v>
      </c>
      <c r="U41" s="9">
        <v>989</v>
      </c>
      <c r="V41" s="9">
        <v>1241</v>
      </c>
    </row>
    <row r="42" spans="1:22" ht="12.75">
      <c r="A42" t="s">
        <v>303</v>
      </c>
      <c r="B42" s="9" t="s">
        <v>242</v>
      </c>
      <c r="C42" s="9" t="s">
        <v>242</v>
      </c>
      <c r="D42" s="9" t="s">
        <v>242</v>
      </c>
      <c r="E42" s="9" t="s">
        <v>242</v>
      </c>
      <c r="F42" s="9" t="s">
        <v>242</v>
      </c>
      <c r="G42" s="9" t="s">
        <v>242</v>
      </c>
      <c r="H42" s="9" t="s">
        <v>242</v>
      </c>
      <c r="I42" s="9" t="s">
        <v>242</v>
      </c>
      <c r="J42" s="9" t="s">
        <v>242</v>
      </c>
      <c r="K42" s="9" t="s">
        <v>242</v>
      </c>
      <c r="L42" s="9">
        <v>1973</v>
      </c>
      <c r="M42" s="9">
        <v>1983</v>
      </c>
      <c r="N42" s="9">
        <v>2068</v>
      </c>
      <c r="O42" s="9">
        <v>2177</v>
      </c>
      <c r="P42" s="9">
        <v>2409</v>
      </c>
      <c r="Q42" s="9">
        <v>3214</v>
      </c>
      <c r="R42" s="9">
        <v>3721</v>
      </c>
      <c r="S42" s="9">
        <v>3500</v>
      </c>
      <c r="T42" s="9">
        <v>3976</v>
      </c>
      <c r="U42" s="9">
        <v>4081</v>
      </c>
      <c r="V42" s="9">
        <v>5443</v>
      </c>
    </row>
    <row r="47" spans="3:11" ht="12.75">
      <c r="C47" s="14">
        <v>15.325691699604743</v>
      </c>
      <c r="D47" s="14">
        <v>15.842743781474134</v>
      </c>
      <c r="E47" s="14">
        <v>16.220966005229965</v>
      </c>
      <c r="F47" s="14">
        <v>16.688560885608855</v>
      </c>
      <c r="G47" s="14">
        <v>17.024647887323944</v>
      </c>
      <c r="H47" s="14">
        <v>17.099570306712106</v>
      </c>
      <c r="I47" s="14">
        <v>17.302527075812275</v>
      </c>
      <c r="J47" s="14">
        <v>17.130434782608695</v>
      </c>
      <c r="K47" s="14">
        <v>17.576819809069214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H25">
      <selection activeCell="S44" sqref="S44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s="7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3"/>
      <c r="N2" s="33"/>
      <c r="O2" s="33"/>
      <c r="P2" s="33"/>
      <c r="Q2" s="33"/>
      <c r="R2" s="15"/>
      <c r="S2" s="15"/>
      <c r="T2" s="15"/>
      <c r="U2" s="15"/>
      <c r="V2" s="15"/>
    </row>
    <row r="3" ht="12.75">
      <c r="A3" t="s">
        <v>378</v>
      </c>
    </row>
    <row r="4" spans="1:22" ht="12.75">
      <c r="A4" t="s">
        <v>76</v>
      </c>
      <c r="B4" s="59">
        <v>0.0676473032493975</v>
      </c>
      <c r="C4" s="59">
        <v>0.04854730568661535</v>
      </c>
      <c r="D4" s="59">
        <v>0.05111138004760176</v>
      </c>
      <c r="E4" s="59">
        <v>0.050558238973790484</v>
      </c>
      <c r="F4" s="59">
        <v>0.050948467261325125</v>
      </c>
      <c r="G4" s="59">
        <v>0.04920355337724001</v>
      </c>
      <c r="H4" s="59">
        <v>0.04879250862493839</v>
      </c>
      <c r="I4" s="59">
        <v>0.04935348067959705</v>
      </c>
      <c r="J4" s="59">
        <v>0.047583162880826785</v>
      </c>
      <c r="K4" s="59">
        <v>0.04842389050186645</v>
      </c>
      <c r="L4" s="59">
        <v>0.06427328799620434</v>
      </c>
      <c r="M4" s="59">
        <v>0.06380546285996787</v>
      </c>
      <c r="N4" s="59">
        <v>0.06685863403221452</v>
      </c>
      <c r="O4" s="59">
        <v>0.07700280453603219</v>
      </c>
      <c r="P4" s="59">
        <v>0.07323140395583061</v>
      </c>
      <c r="Q4" s="59">
        <v>0.07002240477968634</v>
      </c>
      <c r="R4" s="59">
        <v>0.06586771844660194</v>
      </c>
      <c r="S4" s="59">
        <v>0.06377744707990403</v>
      </c>
      <c r="T4" s="59">
        <v>0.06738511465572666</v>
      </c>
      <c r="U4" s="59">
        <v>0.06857743561203351</v>
      </c>
      <c r="V4" s="59">
        <v>0.06476872647808668</v>
      </c>
    </row>
    <row r="5" spans="1:22" ht="12.75">
      <c r="A5" t="s">
        <v>255</v>
      </c>
      <c r="B5" s="59">
        <v>0.07707969749854567</v>
      </c>
      <c r="C5" s="59">
        <v>0.08041552851585133</v>
      </c>
      <c r="D5" s="59">
        <v>0.06898220985114366</v>
      </c>
      <c r="E5" s="59">
        <v>0.06203974978224721</v>
      </c>
      <c r="F5" s="59">
        <v>0.056908035679507654</v>
      </c>
      <c r="G5" s="59">
        <v>0.05119466993413999</v>
      </c>
      <c r="H5" s="59">
        <v>0.04735185957462941</v>
      </c>
      <c r="I5" s="59">
        <v>0.04627123740790859</v>
      </c>
      <c r="J5" s="59">
        <v>0.04058563892776402</v>
      </c>
      <c r="K5" s="59">
        <v>0.03722521775197014</v>
      </c>
      <c r="L5" s="59">
        <v>0.03855764668669935</v>
      </c>
      <c r="M5" s="59">
        <v>0.034699048325299714</v>
      </c>
      <c r="N5" s="59">
        <v>0.04118299889018867</v>
      </c>
      <c r="O5" s="59">
        <v>0.038135593220338986</v>
      </c>
      <c r="P5" s="59">
        <v>0.03170124984831938</v>
      </c>
      <c r="Q5" s="59">
        <v>0.03372666168782674</v>
      </c>
      <c r="R5" s="59">
        <v>0.04754247572815534</v>
      </c>
      <c r="S5" s="59">
        <v>0.04543383849120782</v>
      </c>
      <c r="T5" s="59">
        <v>0.04430089091632734</v>
      </c>
      <c r="U5" s="59">
        <v>0.041925609869214356</v>
      </c>
      <c r="V5" s="59">
        <v>0.03575330824329246</v>
      </c>
    </row>
    <row r="6" spans="1:22" ht="12.75">
      <c r="A6" t="s">
        <v>190</v>
      </c>
      <c r="B6" s="59">
        <v>0.1599351782597856</v>
      </c>
      <c r="C6" s="59">
        <v>0.1573959109345253</v>
      </c>
      <c r="D6" s="59">
        <v>0.14518536447617894</v>
      </c>
      <c r="E6" s="59">
        <v>0.13971810911394408</v>
      </c>
      <c r="F6" s="59">
        <v>0.1257741596229502</v>
      </c>
      <c r="G6" s="59">
        <v>0.12547863378771634</v>
      </c>
      <c r="H6" s="59">
        <v>0.11229480228987375</v>
      </c>
      <c r="I6" s="59">
        <v>0.10648774620357841</v>
      </c>
      <c r="J6" s="59">
        <v>0.1023432734058205</v>
      </c>
      <c r="K6" s="59">
        <v>0.09650214295589658</v>
      </c>
      <c r="L6" s="59">
        <v>0.09527123201012178</v>
      </c>
      <c r="M6" s="59">
        <v>0.08138672599184278</v>
      </c>
      <c r="N6" s="59">
        <v>0.09652359098953178</v>
      </c>
      <c r="O6" s="59">
        <v>0.08337397878307523</v>
      </c>
      <c r="P6" s="59">
        <v>0.08639728188326659</v>
      </c>
      <c r="Q6" s="59">
        <v>0.08188200149365198</v>
      </c>
      <c r="R6" s="59">
        <v>0.08798543689320389</v>
      </c>
      <c r="S6" s="59">
        <v>0.09481580465879066</v>
      </c>
      <c r="T6" s="59">
        <v>0.0872546918531672</v>
      </c>
      <c r="U6" s="59">
        <v>0.07859505920910244</v>
      </c>
      <c r="V6" s="59">
        <v>0.07159766905426733</v>
      </c>
    </row>
    <row r="7" spans="1:22" ht="12.75">
      <c r="A7" t="s">
        <v>200</v>
      </c>
      <c r="B7" s="59">
        <v>0.17609906091581484</v>
      </c>
      <c r="C7" s="59">
        <v>0.1754821620726761</v>
      </c>
      <c r="D7" s="59">
        <v>0.16519423938037034</v>
      </c>
      <c r="E7" s="59">
        <v>0.16414601314435032</v>
      </c>
      <c r="F7" s="59">
        <v>0.16172632726989444</v>
      </c>
      <c r="G7" s="59">
        <v>0.1562643590136315</v>
      </c>
      <c r="H7" s="59">
        <v>0.15577965651893697</v>
      </c>
      <c r="I7" s="59">
        <v>0.15091715531499023</v>
      </c>
      <c r="J7" s="59">
        <v>0.14655327089388884</v>
      </c>
      <c r="K7" s="59">
        <v>0.13186091524955068</v>
      </c>
      <c r="L7" s="59">
        <v>0.13601138699984186</v>
      </c>
      <c r="M7" s="59">
        <v>0.12022617723396366</v>
      </c>
      <c r="N7" s="59">
        <v>0.1335073037583611</v>
      </c>
      <c r="O7" s="59">
        <v>0.13001463236190708</v>
      </c>
      <c r="P7" s="59">
        <v>0.12386239534037131</v>
      </c>
      <c r="Q7" s="59">
        <v>0.12053771471247199</v>
      </c>
      <c r="R7" s="59">
        <v>0.12557645631067962</v>
      </c>
      <c r="S7" s="59">
        <v>0.12834451969508306</v>
      </c>
      <c r="T7" s="59">
        <v>0.12142179224198635</v>
      </c>
      <c r="U7" s="59">
        <v>0.10886436013975204</v>
      </c>
      <c r="V7" s="59">
        <v>0.10507466310549958</v>
      </c>
    </row>
    <row r="8" spans="1:22" ht="12.75">
      <c r="A8" t="s">
        <v>191</v>
      </c>
      <c r="B8" s="59">
        <v>0.13803706473863542</v>
      </c>
      <c r="C8" s="59">
        <v>0.13810942802748116</v>
      </c>
      <c r="D8" s="59">
        <v>0.14409617168905564</v>
      </c>
      <c r="E8" s="59">
        <v>0.14142054002692217</v>
      </c>
      <c r="F8" s="59">
        <v>0.14271803061582208</v>
      </c>
      <c r="G8" s="59">
        <v>0.14623219482309696</v>
      </c>
      <c r="H8" s="59">
        <v>0.1455813777154339</v>
      </c>
      <c r="I8" s="59">
        <v>0.14347466546384002</v>
      </c>
      <c r="J8" s="59">
        <v>0.14813219937560557</v>
      </c>
      <c r="K8" s="59">
        <v>0.13521360431356283</v>
      </c>
      <c r="L8" s="59">
        <v>0.13974379250355845</v>
      </c>
      <c r="M8" s="59">
        <v>0.12690025954764553</v>
      </c>
      <c r="N8" s="59">
        <v>0.13857644200485916</v>
      </c>
      <c r="O8" s="59">
        <v>0.12879526886965004</v>
      </c>
      <c r="P8" s="59">
        <v>0.12480281519233102</v>
      </c>
      <c r="Q8" s="59">
        <v>0.12379387602688574</v>
      </c>
      <c r="R8" s="59">
        <v>0.12424150485436893</v>
      </c>
      <c r="S8" s="59">
        <v>0.12861785161113978</v>
      </c>
      <c r="T8" s="59">
        <v>0.12466705446529712</v>
      </c>
      <c r="U8" s="59">
        <v>0.12460192313638191</v>
      </c>
      <c r="V8" s="59">
        <v>0.11102343086075027</v>
      </c>
    </row>
    <row r="9" spans="1:22" ht="12.75">
      <c r="A9" t="s">
        <v>256</v>
      </c>
      <c r="B9" s="59">
        <v>0.15399318540679796</v>
      </c>
      <c r="C9" s="59">
        <v>0.16078966972932704</v>
      </c>
      <c r="D9" s="59">
        <v>0.1609584896526685</v>
      </c>
      <c r="E9" s="59">
        <v>0.1702826827143875</v>
      </c>
      <c r="F9" s="59">
        <v>0.17434658980251627</v>
      </c>
      <c r="G9" s="59">
        <v>0.17977485066625823</v>
      </c>
      <c r="H9" s="59">
        <v>0.18857337832202298</v>
      </c>
      <c r="I9" s="59">
        <v>0.1846714779732371</v>
      </c>
      <c r="J9" s="59">
        <v>0.18764129615674455</v>
      </c>
      <c r="K9" s="59">
        <v>0.19697912346191068</v>
      </c>
      <c r="L9" s="59">
        <v>0.19981021666930254</v>
      </c>
      <c r="M9" s="59">
        <v>0.21122234581633914</v>
      </c>
      <c r="N9" s="59">
        <v>0.21110411230090884</v>
      </c>
      <c r="O9" s="59">
        <v>0.20692598463602</v>
      </c>
      <c r="P9" s="59">
        <v>0.20307001577478462</v>
      </c>
      <c r="Q9" s="59">
        <v>0.20684092606422705</v>
      </c>
      <c r="R9" s="59">
        <v>0.18844053398058253</v>
      </c>
      <c r="S9" s="59">
        <v>0.19418714125186018</v>
      </c>
      <c r="T9" s="59">
        <v>0.19232771025319167</v>
      </c>
      <c r="U9" s="59">
        <v>0.19763163590266827</v>
      </c>
      <c r="V9" s="59">
        <v>0.20034599975719317</v>
      </c>
    </row>
    <row r="10" spans="1:22" ht="12.75">
      <c r="A10" t="s">
        <v>328</v>
      </c>
      <c r="B10" s="59">
        <v>0.227208509931023</v>
      </c>
      <c r="C10" s="59">
        <v>0.23925999503352371</v>
      </c>
      <c r="D10" s="59">
        <v>0.26447214490298115</v>
      </c>
      <c r="E10" s="59">
        <v>0.27183466624435826</v>
      </c>
      <c r="F10" s="59">
        <v>0.2875783897479843</v>
      </c>
      <c r="G10" s="59">
        <v>0.291851738397917</v>
      </c>
      <c r="H10" s="59">
        <v>0.3016264169541646</v>
      </c>
      <c r="I10" s="59">
        <v>0.3188242369568486</v>
      </c>
      <c r="J10" s="59">
        <v>0.3271611583593498</v>
      </c>
      <c r="K10" s="59">
        <v>0.35379510576524265</v>
      </c>
      <c r="L10" s="59">
        <v>0.32633243713427174</v>
      </c>
      <c r="M10" s="59">
        <v>0.36175998022494127</v>
      </c>
      <c r="N10" s="59">
        <v>0.31224691802393595</v>
      </c>
      <c r="O10" s="59">
        <v>0.3357517375929765</v>
      </c>
      <c r="P10" s="59">
        <v>0.35693483800509646</v>
      </c>
      <c r="Q10" s="59">
        <v>0.3631964152352502</v>
      </c>
      <c r="R10" s="59">
        <v>0.36034587378640776</v>
      </c>
      <c r="S10" s="59">
        <v>0.34482339721201444</v>
      </c>
      <c r="T10" s="59">
        <v>0.36264274561430365</v>
      </c>
      <c r="U10" s="59">
        <v>0.3798039761308475</v>
      </c>
      <c r="V10" s="59">
        <v>0.4114362025009105</v>
      </c>
    </row>
    <row r="12" spans="1:22" ht="12.75">
      <c r="A12" t="s">
        <v>194</v>
      </c>
      <c r="B12" s="9" t="s">
        <v>242</v>
      </c>
      <c r="C12" s="9" t="s">
        <v>242</v>
      </c>
      <c r="D12" s="9" t="s">
        <v>242</v>
      </c>
      <c r="E12" s="9" t="s">
        <v>242</v>
      </c>
      <c r="F12" s="9" t="s">
        <v>242</v>
      </c>
      <c r="G12" s="9" t="s">
        <v>242</v>
      </c>
      <c r="H12" s="9" t="s">
        <v>242</v>
      </c>
      <c r="I12" s="9" t="s">
        <v>242</v>
      </c>
      <c r="J12" s="9" t="s">
        <v>242</v>
      </c>
      <c r="K12" s="9" t="s">
        <v>242</v>
      </c>
      <c r="L12" s="59">
        <v>0.058896093626443144</v>
      </c>
      <c r="M12" s="59">
        <v>0.06114818934618712</v>
      </c>
      <c r="N12" s="59">
        <v>0.05992981193197156</v>
      </c>
      <c r="O12" s="59">
        <v>0.06096817461285209</v>
      </c>
      <c r="P12" s="59">
        <v>0.06355418031792258</v>
      </c>
      <c r="Q12" s="59">
        <v>0.06873786407766991</v>
      </c>
      <c r="R12" s="59">
        <v>0.06070995145631068</v>
      </c>
      <c r="S12" s="59">
        <v>0.06277523005436268</v>
      </c>
      <c r="T12" s="59">
        <v>0.062149833144536634</v>
      </c>
      <c r="U12" s="59">
        <v>0.06424883282317657</v>
      </c>
      <c r="V12" s="59">
        <v>0.06728784751729999</v>
      </c>
    </row>
    <row r="13" spans="1:22" ht="12.75">
      <c r="A13" t="s">
        <v>195</v>
      </c>
      <c r="B13" s="9" t="s">
        <v>242</v>
      </c>
      <c r="C13" s="9" t="s">
        <v>242</v>
      </c>
      <c r="D13" s="9" t="s">
        <v>242</v>
      </c>
      <c r="E13" s="9" t="s">
        <v>242</v>
      </c>
      <c r="F13" s="9" t="s">
        <v>242</v>
      </c>
      <c r="G13" s="9" t="s">
        <v>242</v>
      </c>
      <c r="H13" s="9" t="s">
        <v>242</v>
      </c>
      <c r="I13" s="9" t="s">
        <v>242</v>
      </c>
      <c r="J13" s="9" t="s">
        <v>242</v>
      </c>
      <c r="K13" s="9" t="s">
        <v>242</v>
      </c>
      <c r="L13" s="59">
        <v>0.07360430175549582</v>
      </c>
      <c r="M13" s="59">
        <v>0.08460017303176369</v>
      </c>
      <c r="N13" s="59">
        <v>0.07726686463301238</v>
      </c>
      <c r="O13" s="59">
        <v>0.08136202902085111</v>
      </c>
      <c r="P13" s="59">
        <v>0.08436476155806334</v>
      </c>
      <c r="Q13" s="59">
        <v>0.0834353995519044</v>
      </c>
      <c r="R13" s="59">
        <v>0.07636529126213593</v>
      </c>
      <c r="S13" s="59">
        <v>0.0782640386309108</v>
      </c>
      <c r="T13" s="59">
        <v>0.08333588464011267</v>
      </c>
      <c r="U13" s="59">
        <v>0.09328139009986705</v>
      </c>
      <c r="V13" s="59">
        <v>0.08525555420662863</v>
      </c>
    </row>
    <row r="14" spans="1:22" ht="12.75">
      <c r="A14" t="s">
        <v>196</v>
      </c>
      <c r="B14" s="9" t="s">
        <v>242</v>
      </c>
      <c r="C14" s="9" t="s">
        <v>242</v>
      </c>
      <c r="D14" s="9" t="s">
        <v>242</v>
      </c>
      <c r="E14" s="9" t="s">
        <v>242</v>
      </c>
      <c r="F14" s="9" t="s">
        <v>242</v>
      </c>
      <c r="G14" s="9" t="s">
        <v>242</v>
      </c>
      <c r="H14" s="9" t="s">
        <v>242</v>
      </c>
      <c r="I14" s="9" t="s">
        <v>242</v>
      </c>
      <c r="J14" s="9" t="s">
        <v>242</v>
      </c>
      <c r="K14" s="9" t="s">
        <v>242</v>
      </c>
      <c r="L14" s="59">
        <v>0.046465285465759926</v>
      </c>
      <c r="M14" s="59">
        <v>0.054134223210975156</v>
      </c>
      <c r="N14" s="59">
        <v>0.046402111641021024</v>
      </c>
      <c r="O14" s="59">
        <v>0.05203633703206926</v>
      </c>
      <c r="P14" s="59">
        <v>0.0489928406746754</v>
      </c>
      <c r="Q14" s="59">
        <v>0.049260642270351006</v>
      </c>
      <c r="R14" s="59">
        <v>0.04784587378640777</v>
      </c>
      <c r="S14" s="59">
        <v>0.04883530233546937</v>
      </c>
      <c r="T14" s="59">
        <v>0.052995744420292076</v>
      </c>
      <c r="U14" s="59">
        <v>0.053396407259685245</v>
      </c>
      <c r="V14" s="59">
        <v>0.05478329488891587</v>
      </c>
    </row>
    <row r="15" spans="1:22" ht="12.75">
      <c r="A15" t="s">
        <v>197</v>
      </c>
      <c r="B15" s="9" t="s">
        <v>242</v>
      </c>
      <c r="C15" s="9" t="s">
        <v>242</v>
      </c>
      <c r="D15" s="9" t="s">
        <v>242</v>
      </c>
      <c r="E15" s="9" t="s">
        <v>242</v>
      </c>
      <c r="F15" s="9" t="s">
        <v>242</v>
      </c>
      <c r="G15" s="9" t="s">
        <v>242</v>
      </c>
      <c r="H15" s="9" t="s">
        <v>242</v>
      </c>
      <c r="I15" s="9" t="s">
        <v>242</v>
      </c>
      <c r="J15" s="9" t="s">
        <v>242</v>
      </c>
      <c r="K15" s="9" t="s">
        <v>242</v>
      </c>
      <c r="L15" s="59">
        <v>0.03441404396647161</v>
      </c>
      <c r="M15" s="59">
        <v>0.037140032134470397</v>
      </c>
      <c r="N15" s="59">
        <v>0.030714778487657097</v>
      </c>
      <c r="O15" s="59">
        <v>0.0326484575051823</v>
      </c>
      <c r="P15" s="59">
        <v>0.03446183715568499</v>
      </c>
      <c r="Q15" s="59">
        <v>0.034891710231516056</v>
      </c>
      <c r="R15" s="59">
        <v>0.03358616504854369</v>
      </c>
      <c r="S15" s="59">
        <v>0.03143317034652413</v>
      </c>
      <c r="T15" s="59">
        <v>0.03585096286317852</v>
      </c>
      <c r="U15" s="59">
        <v>0.03459790371950654</v>
      </c>
      <c r="V15" s="59">
        <v>0.036542430496540004</v>
      </c>
    </row>
    <row r="16" spans="1:22" ht="12.75">
      <c r="A16" t="s">
        <v>303</v>
      </c>
      <c r="B16" s="9" t="s">
        <v>242</v>
      </c>
      <c r="C16" s="9" t="s">
        <v>242</v>
      </c>
      <c r="D16" s="9" t="s">
        <v>242</v>
      </c>
      <c r="E16" s="9" t="s">
        <v>242</v>
      </c>
      <c r="F16" s="9" t="s">
        <v>242</v>
      </c>
      <c r="G16" s="9" t="s">
        <v>242</v>
      </c>
      <c r="H16" s="9" t="s">
        <v>242</v>
      </c>
      <c r="I16" s="9" t="s">
        <v>242</v>
      </c>
      <c r="J16" s="9" t="s">
        <v>242</v>
      </c>
      <c r="K16" s="9" t="s">
        <v>242</v>
      </c>
      <c r="L16" s="59">
        <v>0.11295271232010122</v>
      </c>
      <c r="M16" s="59">
        <v>0.12473736250154492</v>
      </c>
      <c r="N16" s="59">
        <v>0.09793335133027385</v>
      </c>
      <c r="O16" s="59">
        <v>0.10873673942202171</v>
      </c>
      <c r="P16" s="59">
        <v>0.12556121829875014</v>
      </c>
      <c r="Q16" s="59">
        <v>0.1268707991038088</v>
      </c>
      <c r="R16" s="59">
        <v>0.1418385922330097</v>
      </c>
      <c r="S16" s="59">
        <v>0.12351565584474747</v>
      </c>
      <c r="T16" s="59">
        <v>0.12831032054618374</v>
      </c>
      <c r="U16" s="59">
        <v>0.13427944222861207</v>
      </c>
      <c r="V16" s="59">
        <v>0.16756707539152604</v>
      </c>
    </row>
    <row r="20" spans="1:22" ht="12.75">
      <c r="A20" s="7"/>
      <c r="B20" s="34">
        <v>1973</v>
      </c>
      <c r="C20" s="34">
        <v>1974</v>
      </c>
      <c r="D20" s="34">
        <v>1975</v>
      </c>
      <c r="E20" s="34">
        <v>1976</v>
      </c>
      <c r="F20" s="34">
        <v>1977</v>
      </c>
      <c r="G20" s="34">
        <v>1978</v>
      </c>
      <c r="H20" s="34">
        <v>1979</v>
      </c>
      <c r="I20" s="34">
        <v>1980</v>
      </c>
      <c r="J20" s="34">
        <v>1981</v>
      </c>
      <c r="K20" s="34">
        <v>1983</v>
      </c>
      <c r="L20" s="34">
        <v>1985</v>
      </c>
      <c r="M20" s="33">
        <v>1987</v>
      </c>
      <c r="N20" s="33">
        <v>1989</v>
      </c>
      <c r="O20" s="33">
        <v>1991</v>
      </c>
      <c r="P20" s="33">
        <v>1993</v>
      </c>
      <c r="Q20" s="33">
        <v>1995</v>
      </c>
      <c r="R20" s="15">
        <v>1997</v>
      </c>
      <c r="S20" s="15">
        <v>1999</v>
      </c>
      <c r="T20" s="15">
        <v>2001</v>
      </c>
      <c r="U20" s="15">
        <v>2003</v>
      </c>
      <c r="V20" s="15">
        <v>2005</v>
      </c>
    </row>
    <row r="22" spans="1:22" ht="12.75">
      <c r="A22" t="s">
        <v>203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t="s">
        <v>188</v>
      </c>
      <c r="B23" s="14" t="s">
        <v>242</v>
      </c>
      <c r="C23" s="59">
        <v>0.0472622838234376</v>
      </c>
      <c r="D23" s="59">
        <v>0.0425694000060944</v>
      </c>
      <c r="E23" s="59">
        <v>0.03861258506460413</v>
      </c>
      <c r="F23" s="59">
        <v>0.03665527824425271</v>
      </c>
      <c r="G23" s="59">
        <v>0.03454846030989941</v>
      </c>
      <c r="H23" s="59">
        <v>0.0337048257952824</v>
      </c>
      <c r="I23" s="59">
        <v>0.034501033441093856</v>
      </c>
      <c r="J23" s="59">
        <v>0.033935722353424375</v>
      </c>
      <c r="K23" s="59">
        <v>0.03345801096479992</v>
      </c>
      <c r="L23" s="59">
        <v>0.03666302054848035</v>
      </c>
      <c r="M23" s="59">
        <v>0.044185518650223195</v>
      </c>
      <c r="N23" s="59">
        <v>0.052647233789411066</v>
      </c>
      <c r="O23" s="59">
        <v>0.04685769145557935</v>
      </c>
      <c r="P23" s="59">
        <v>0.04061291552440951</v>
      </c>
      <c r="Q23" s="59">
        <v>0.04561195369865649</v>
      </c>
      <c r="R23" s="59">
        <v>0.06888888888888889</v>
      </c>
      <c r="S23" s="59">
        <v>0.07637122063783208</v>
      </c>
      <c r="T23" s="59">
        <v>0.06938394523957685</v>
      </c>
      <c r="U23" s="59">
        <v>0.07071760891019314</v>
      </c>
      <c r="V23" s="59">
        <v>0.05467822049454703</v>
      </c>
    </row>
    <row r="24" spans="1:22" ht="12.75">
      <c r="A24" t="s">
        <v>189</v>
      </c>
      <c r="B24" s="14" t="s">
        <v>242</v>
      </c>
      <c r="C24" s="59">
        <v>0.19816445027158644</v>
      </c>
      <c r="D24" s="59">
        <v>0.19084620775817412</v>
      </c>
      <c r="E24" s="59">
        <v>0.1816410348652457</v>
      </c>
      <c r="F24" s="59">
        <v>0.1752562395043141</v>
      </c>
      <c r="G24" s="59">
        <v>0.17445151167026254</v>
      </c>
      <c r="H24" s="59">
        <v>0.176828608526293</v>
      </c>
      <c r="I24" s="59">
        <v>0.17059727595527055</v>
      </c>
      <c r="J24" s="59">
        <v>0.18015196632097752</v>
      </c>
      <c r="K24" s="59">
        <v>0.17161961367013373</v>
      </c>
      <c r="L24" s="59">
        <v>0.17552152511914992</v>
      </c>
      <c r="M24" s="59">
        <v>0.1721078913520466</v>
      </c>
      <c r="N24" s="59">
        <v>0.18162552052349792</v>
      </c>
      <c r="O24" s="59">
        <v>0.16193412598774093</v>
      </c>
      <c r="P24" s="59">
        <v>0.14654781140502168</v>
      </c>
      <c r="Q24" s="59">
        <v>0.15342931349600794</v>
      </c>
      <c r="R24" s="59">
        <v>0.17774669774669774</v>
      </c>
      <c r="S24" s="59">
        <v>0.1773859534938761</v>
      </c>
      <c r="T24" s="59">
        <v>0.1574220738813147</v>
      </c>
      <c r="U24" s="59">
        <v>0.15822642041449317</v>
      </c>
      <c r="V24" s="59">
        <v>0.14524619371558148</v>
      </c>
    </row>
    <row r="25" spans="1:22" ht="12.75">
      <c r="A25" t="s">
        <v>190</v>
      </c>
      <c r="B25" s="14" t="s">
        <v>242</v>
      </c>
      <c r="C25" s="59">
        <v>0.2417119310732347</v>
      </c>
      <c r="D25" s="59">
        <v>0.2329280555809489</v>
      </c>
      <c r="E25" s="59">
        <v>0.2321551698294211</v>
      </c>
      <c r="F25" s="59">
        <v>0.2218426081417569</v>
      </c>
      <c r="G25" s="59">
        <v>0.21527641570231723</v>
      </c>
      <c r="H25" s="59">
        <v>0.2128056697684484</v>
      </c>
      <c r="I25" s="59">
        <v>0.21039800731358313</v>
      </c>
      <c r="J25" s="59">
        <v>0.2104425505698737</v>
      </c>
      <c r="K25" s="59">
        <v>0.20640979658759032</v>
      </c>
      <c r="L25" s="59">
        <v>0.1900343776857567</v>
      </c>
      <c r="M25" s="59">
        <v>0.18534841492017856</v>
      </c>
      <c r="N25" s="59">
        <v>0.17863251041046996</v>
      </c>
      <c r="O25" s="59">
        <v>0.17585481131378775</v>
      </c>
      <c r="P25" s="59">
        <v>0.17706650206060165</v>
      </c>
      <c r="Q25" s="59">
        <v>0.18052393625549107</v>
      </c>
      <c r="R25" s="59">
        <v>0.17476301476301476</v>
      </c>
      <c r="S25" s="59">
        <v>0.17673510443169044</v>
      </c>
      <c r="T25" s="59">
        <v>0.17418113933359733</v>
      </c>
      <c r="U25" s="59">
        <v>0.16801071478922883</v>
      </c>
      <c r="V25" s="59">
        <v>0.15403304178814384</v>
      </c>
    </row>
    <row r="26" spans="1:22" ht="12.75">
      <c r="A26" t="s">
        <v>200</v>
      </c>
      <c r="B26" s="14" t="s">
        <v>242</v>
      </c>
      <c r="C26" s="59">
        <v>0.19744646313292127</v>
      </c>
      <c r="D26" s="59">
        <v>0.19968309108084226</v>
      </c>
      <c r="E26" s="59">
        <v>0.19489162694486914</v>
      </c>
      <c r="F26" s="59">
        <v>0.19616075047773468</v>
      </c>
      <c r="G26" s="59">
        <v>0.18700439911457312</v>
      </c>
      <c r="H26" s="59">
        <v>0.1825632979874486</v>
      </c>
      <c r="I26" s="59">
        <v>0.18350204038369813</v>
      </c>
      <c r="J26" s="59">
        <v>0.1771229078960879</v>
      </c>
      <c r="K26" s="59">
        <v>0.17174770712711995</v>
      </c>
      <c r="L26" s="59">
        <v>0.1648761622001719</v>
      </c>
      <c r="M26" s="59">
        <v>0.1627638647196792</v>
      </c>
      <c r="N26" s="59">
        <v>0.16247769185008923</v>
      </c>
      <c r="O26" s="59">
        <v>0.16483273022671885</v>
      </c>
      <c r="P26" s="59">
        <v>0.17959005827780905</v>
      </c>
      <c r="Q26" s="59">
        <v>0.17053580017314907</v>
      </c>
      <c r="R26" s="59">
        <v>0.159005439005439</v>
      </c>
      <c r="S26" s="59">
        <v>0.1643098041536004</v>
      </c>
      <c r="T26" s="59">
        <v>0.1543389715449454</v>
      </c>
      <c r="U26" s="59">
        <v>0.15740871281545185</v>
      </c>
      <c r="V26" s="59">
        <v>0.15520732102364757</v>
      </c>
    </row>
    <row r="27" spans="1:22" ht="12.75">
      <c r="A27" t="s">
        <v>191</v>
      </c>
      <c r="B27" s="14" t="s">
        <v>242</v>
      </c>
      <c r="C27" s="59">
        <v>0.12421177498907411</v>
      </c>
      <c r="D27" s="59">
        <v>0.12819575220160284</v>
      </c>
      <c r="E27" s="59">
        <v>0.13523398387145127</v>
      </c>
      <c r="F27" s="59">
        <v>0.1344605941282066</v>
      </c>
      <c r="G27" s="59">
        <v>0.13931463476141107</v>
      </c>
      <c r="H27" s="59">
        <v>0.13987773209262064</v>
      </c>
      <c r="I27" s="59">
        <v>0.13368487996184217</v>
      </c>
      <c r="J27" s="59">
        <v>0.1301725023102988</v>
      </c>
      <c r="K27" s="59">
        <v>0.12699185325613568</v>
      </c>
      <c r="L27" s="59">
        <v>0.12641612625986406</v>
      </c>
      <c r="M27" s="59">
        <v>0.13223500037830066</v>
      </c>
      <c r="N27" s="59">
        <v>0.1271192742415229</v>
      </c>
      <c r="O27" s="59">
        <v>0.12964330551657927</v>
      </c>
      <c r="P27" s="59">
        <v>0.1363628111326955</v>
      </c>
      <c r="Q27" s="59">
        <v>0.13104819315740532</v>
      </c>
      <c r="R27" s="59">
        <v>0.11742035742035742</v>
      </c>
      <c r="S27" s="59">
        <v>0.11480089935506775</v>
      </c>
      <c r="T27" s="59">
        <v>0.12083498331164791</v>
      </c>
      <c r="U27" s="59">
        <v>0.1194980967150712</v>
      </c>
      <c r="V27" s="59">
        <v>0.12076179678220494</v>
      </c>
    </row>
    <row r="28" spans="1:22" ht="12.75">
      <c r="A28" t="s">
        <v>192</v>
      </c>
      <c r="B28" s="14" t="s">
        <v>242</v>
      </c>
      <c r="C28" s="59">
        <v>0.07279765249422489</v>
      </c>
      <c r="D28" s="59">
        <v>0.07362037968126275</v>
      </c>
      <c r="E28" s="59">
        <v>0.07830440387325</v>
      </c>
      <c r="F28" s="59">
        <v>0.08257571370664196</v>
      </c>
      <c r="G28" s="59">
        <v>0.08666535907422455</v>
      </c>
      <c r="H28" s="59">
        <v>0.08615559402726683</v>
      </c>
      <c r="I28" s="59">
        <v>0.0864645715194234</v>
      </c>
      <c r="J28" s="59">
        <v>0.08476229592360612</v>
      </c>
      <c r="K28" s="59">
        <v>0.08997284418711893</v>
      </c>
      <c r="L28" s="59">
        <v>0.09160871943120556</v>
      </c>
      <c r="M28" s="59">
        <v>0.09054626617235378</v>
      </c>
      <c r="N28" s="59">
        <v>0.0939359012492564</v>
      </c>
      <c r="O28" s="59">
        <v>0.09594933904438373</v>
      </c>
      <c r="P28" s="59">
        <v>0.09447903995933261</v>
      </c>
      <c r="Q28" s="59">
        <v>0.08854650976368358</v>
      </c>
      <c r="R28" s="59">
        <v>0.08077700077700077</v>
      </c>
      <c r="S28" s="59">
        <v>0.08140050884563044</v>
      </c>
      <c r="T28" s="59">
        <v>0.08389432596028738</v>
      </c>
      <c r="U28" s="59">
        <v>0.08667700549837869</v>
      </c>
      <c r="V28" s="59">
        <v>0.09162077529424469</v>
      </c>
    </row>
    <row r="29" spans="1:22" ht="12.75">
      <c r="A29" t="s">
        <v>193</v>
      </c>
      <c r="B29" s="14" t="s">
        <v>242</v>
      </c>
      <c r="C29" s="59">
        <v>0.037460198539052254</v>
      </c>
      <c r="D29" s="59">
        <v>0.04174665569674254</v>
      </c>
      <c r="E29" s="59">
        <v>0.04541775339508949</v>
      </c>
      <c r="F29" s="59">
        <v>0.04942382303549713</v>
      </c>
      <c r="G29" s="59">
        <v>0.052453136820869176</v>
      </c>
      <c r="H29" s="59">
        <v>0.05196386063622593</v>
      </c>
      <c r="I29" s="59">
        <v>0.05201653505750172</v>
      </c>
      <c r="J29" s="59">
        <v>0.05331656227538761</v>
      </c>
      <c r="K29" s="59">
        <v>0.057052825741661116</v>
      </c>
      <c r="L29" s="59">
        <v>0.06219235877802953</v>
      </c>
      <c r="M29" s="59">
        <v>0.0599039116289627</v>
      </c>
      <c r="N29" s="59">
        <v>0.05844735276621059</v>
      </c>
      <c r="O29" s="59">
        <v>0.06207074809836792</v>
      </c>
      <c r="P29" s="59">
        <v>0.06114631179535593</v>
      </c>
      <c r="Q29" s="59">
        <v>0.057491903677814475</v>
      </c>
      <c r="R29" s="59">
        <v>0.05417249417249417</v>
      </c>
      <c r="S29" s="59">
        <v>0.05103248328501272</v>
      </c>
      <c r="T29" s="59">
        <v>0.05913050857045879</v>
      </c>
      <c r="U29" s="59">
        <v>0.05969265473001551</v>
      </c>
      <c r="V29" s="59">
        <v>0.062871180218119</v>
      </c>
    </row>
    <row r="30" spans="1:22" ht="12.75">
      <c r="A30" t="s">
        <v>194</v>
      </c>
      <c r="B30" s="14" t="s">
        <v>242</v>
      </c>
      <c r="C30" s="59">
        <v>0.02060310919647874</v>
      </c>
      <c r="D30" s="59">
        <v>0.024316665143066095</v>
      </c>
      <c r="E30" s="59">
        <v>0.02620139700812423</v>
      </c>
      <c r="F30" s="59">
        <v>0.028693033759916612</v>
      </c>
      <c r="G30" s="59">
        <v>0.03051360363137101</v>
      </c>
      <c r="H30" s="59">
        <v>0.031811296256221595</v>
      </c>
      <c r="I30" s="59">
        <v>0.03317610896178918</v>
      </c>
      <c r="J30" s="59">
        <v>0.034449122086456514</v>
      </c>
      <c r="K30" s="59">
        <v>0.0358661679561408</v>
      </c>
      <c r="L30" s="59">
        <v>0.03732713493241659</v>
      </c>
      <c r="M30" s="59">
        <v>0.039059544525989254</v>
      </c>
      <c r="N30" s="59">
        <v>0.035804580606781676</v>
      </c>
      <c r="O30" s="59">
        <v>0.04085739605642124</v>
      </c>
      <c r="P30" s="59">
        <v>0.03828906519489479</v>
      </c>
      <c r="Q30" s="59">
        <v>0.038509635425016835</v>
      </c>
      <c r="R30" s="59">
        <v>0.032773892773892775</v>
      </c>
      <c r="S30" s="59">
        <v>0.03591503461333649</v>
      </c>
      <c r="T30" s="59">
        <v>0.038581207218419414</v>
      </c>
      <c r="U30" s="59">
        <v>0.03922176794022275</v>
      </c>
      <c r="V30" s="59">
        <v>0.045135514523269624</v>
      </c>
    </row>
    <row r="31" spans="1:22" ht="12.75">
      <c r="A31" t="s">
        <v>195</v>
      </c>
      <c r="B31" s="14" t="s">
        <v>242</v>
      </c>
      <c r="C31" s="59">
        <v>0.022881937940937753</v>
      </c>
      <c r="D31" s="59">
        <v>0.02641923393363196</v>
      </c>
      <c r="E31" s="59">
        <v>0.025361992984980663</v>
      </c>
      <c r="F31" s="59">
        <v>0.028490358445769876</v>
      </c>
      <c r="G31" s="59">
        <v>0.029785087842192273</v>
      </c>
      <c r="H31" s="59">
        <v>0.03427288465700065</v>
      </c>
      <c r="I31" s="59">
        <v>0.03728337484763369</v>
      </c>
      <c r="J31" s="59">
        <v>0.03521922168600472</v>
      </c>
      <c r="K31" s="59">
        <v>0.039606496900138344</v>
      </c>
      <c r="L31" s="59">
        <v>0.04316743495585593</v>
      </c>
      <c r="M31" s="59">
        <v>0.0427668911250662</v>
      </c>
      <c r="N31" s="59">
        <v>0.04067519333729923</v>
      </c>
      <c r="O31" s="59">
        <v>0.04626689313935455</v>
      </c>
      <c r="P31" s="59">
        <v>0.0436811241625969</v>
      </c>
      <c r="Q31" s="59">
        <v>0.04309487927662167</v>
      </c>
      <c r="R31" s="59">
        <v>0.040683760683760686</v>
      </c>
      <c r="S31" s="59">
        <v>0.03860718300692267</v>
      </c>
      <c r="T31" s="59">
        <v>0.044690841206087004</v>
      </c>
      <c r="U31" s="59">
        <v>0.04514309882983223</v>
      </c>
      <c r="V31" s="59">
        <v>0.050871936076017706</v>
      </c>
    </row>
    <row r="32" spans="1:22" ht="12.75">
      <c r="A32" t="s">
        <v>258</v>
      </c>
      <c r="B32" s="14" t="s">
        <v>242</v>
      </c>
      <c r="C32" s="59">
        <v>0.037460198539052254</v>
      </c>
      <c r="D32" s="59">
        <v>0.039674558917634155</v>
      </c>
      <c r="E32" s="59">
        <v>0.0421800521629643</v>
      </c>
      <c r="F32" s="59">
        <v>0.046441600555909436</v>
      </c>
      <c r="G32" s="59">
        <v>0.0499873910728796</v>
      </c>
      <c r="H32" s="59">
        <v>0.05001623025319195</v>
      </c>
      <c r="I32" s="59">
        <v>0.058376172558164185</v>
      </c>
      <c r="J32" s="59">
        <v>0.06042714857788274</v>
      </c>
      <c r="K32" s="59">
        <v>0.06727468360916124</v>
      </c>
      <c r="L32" s="59">
        <v>0.07219314008906946</v>
      </c>
      <c r="M32" s="59">
        <v>0.07108269652719981</v>
      </c>
      <c r="N32" s="59">
        <v>0.06863474122546104</v>
      </c>
      <c r="O32" s="59">
        <v>0.07573295916106638</v>
      </c>
      <c r="P32" s="59">
        <v>0.08222436048728236</v>
      </c>
      <c r="Q32" s="59">
        <v>0.09120787507615352</v>
      </c>
      <c r="R32" s="59">
        <v>0.09376845376845377</v>
      </c>
      <c r="S32" s="59">
        <v>0.08344180817703095</v>
      </c>
      <c r="T32" s="59">
        <v>0.09754200373366521</v>
      </c>
      <c r="U32" s="59">
        <v>0.09540391935711265</v>
      </c>
      <c r="V32" s="59">
        <v>0.11957402008422417</v>
      </c>
    </row>
    <row r="34" spans="1:22" ht="12.75">
      <c r="A34" t="s">
        <v>196</v>
      </c>
      <c r="B34" s="9" t="s">
        <v>242</v>
      </c>
      <c r="C34" s="9" t="s">
        <v>242</v>
      </c>
      <c r="D34" s="9" t="s">
        <v>242</v>
      </c>
      <c r="E34" s="9" t="s">
        <v>242</v>
      </c>
      <c r="F34" s="9" t="s">
        <v>242</v>
      </c>
      <c r="G34" s="9" t="s">
        <v>242</v>
      </c>
      <c r="H34" s="9" t="s">
        <v>242</v>
      </c>
      <c r="I34" s="9" t="s">
        <v>242</v>
      </c>
      <c r="J34" s="9" t="s">
        <v>242</v>
      </c>
      <c r="K34" s="9" t="s">
        <v>242</v>
      </c>
      <c r="L34" s="59">
        <v>0.02045081647003672</v>
      </c>
      <c r="M34" s="59">
        <v>0.021165922675342362</v>
      </c>
      <c r="N34" s="59">
        <v>0.018868976799524092</v>
      </c>
      <c r="O34" s="59">
        <v>0.022339561332250204</v>
      </c>
      <c r="P34" s="59">
        <v>0.023438209182839818</v>
      </c>
      <c r="Q34" s="59">
        <v>0.024449289768172636</v>
      </c>
      <c r="R34" s="59">
        <v>0.022843822843822845</v>
      </c>
      <c r="S34" s="59">
        <v>0.01911129518963375</v>
      </c>
      <c r="T34" s="59">
        <v>0.026361939243084234</v>
      </c>
      <c r="U34" s="59">
        <v>0.02392499647539828</v>
      </c>
      <c r="V34" s="59">
        <v>0.029356980887593132</v>
      </c>
    </row>
    <row r="35" spans="1:22" ht="12.75">
      <c r="A35" t="s">
        <v>197</v>
      </c>
      <c r="B35" s="9" t="s">
        <v>242</v>
      </c>
      <c r="C35" s="9" t="s">
        <v>242</v>
      </c>
      <c r="D35" s="9" t="s">
        <v>242</v>
      </c>
      <c r="E35" s="9" t="s">
        <v>242</v>
      </c>
      <c r="F35" s="9" t="s">
        <v>242</v>
      </c>
      <c r="G35" s="9" t="s">
        <v>242</v>
      </c>
      <c r="H35" s="9" t="s">
        <v>242</v>
      </c>
      <c r="I35" s="9" t="s">
        <v>242</v>
      </c>
      <c r="J35" s="9" t="s">
        <v>242</v>
      </c>
      <c r="K35" s="9" t="s">
        <v>242</v>
      </c>
      <c r="L35" s="59">
        <v>0.0132041565747324</v>
      </c>
      <c r="M35" s="59">
        <v>0.012408262086706515</v>
      </c>
      <c r="N35" s="59">
        <v>0.011321386079714457</v>
      </c>
      <c r="O35" s="59">
        <v>0.013200649878147848</v>
      </c>
      <c r="P35" s="59">
        <v>0.015050561899747645</v>
      </c>
      <c r="Q35" s="59">
        <v>0.015230705101484592</v>
      </c>
      <c r="R35" s="59">
        <v>0.0131002331002331</v>
      </c>
      <c r="S35" s="59">
        <v>0.012558428495355304</v>
      </c>
      <c r="T35" s="59">
        <v>0.014948803530010749</v>
      </c>
      <c r="U35" s="59">
        <v>0.01394332440434231</v>
      </c>
      <c r="V35" s="59">
        <v>0.016750350934024404</v>
      </c>
    </row>
    <row r="36" spans="1:22" ht="12.75">
      <c r="A36" t="s">
        <v>303</v>
      </c>
      <c r="B36" s="9" t="s">
        <v>242</v>
      </c>
      <c r="C36" s="9" t="s">
        <v>242</v>
      </c>
      <c r="D36" s="9" t="s">
        <v>242</v>
      </c>
      <c r="E36" s="9" t="s">
        <v>242</v>
      </c>
      <c r="F36" s="9" t="s">
        <v>242</v>
      </c>
      <c r="G36" s="9" t="s">
        <v>242</v>
      </c>
      <c r="H36" s="9" t="s">
        <v>242</v>
      </c>
      <c r="I36" s="9" t="s">
        <v>242</v>
      </c>
      <c r="J36" s="9" t="s">
        <v>242</v>
      </c>
      <c r="K36" s="9" t="s">
        <v>242</v>
      </c>
      <c r="L36" s="59">
        <v>0.03853816704430034</v>
      </c>
      <c r="M36" s="59">
        <v>0.037508511765150944</v>
      </c>
      <c r="N36" s="59">
        <v>0.03844437834622249</v>
      </c>
      <c r="O36" s="59">
        <v>0.040192747950668344</v>
      </c>
      <c r="P36" s="59">
        <v>0.0437355894046949</v>
      </c>
      <c r="Q36" s="59">
        <v>0.0515278802064963</v>
      </c>
      <c r="R36" s="59">
        <v>0.05782439782439783</v>
      </c>
      <c r="S36" s="59">
        <v>0.05177208449204189</v>
      </c>
      <c r="T36" s="59">
        <v>0.05623126096057023</v>
      </c>
      <c r="U36" s="59">
        <v>0.05753559847737206</v>
      </c>
      <c r="V36" s="59">
        <v>0.07346668826260663</v>
      </c>
    </row>
    <row r="38" spans="1:22" ht="12.75">
      <c r="A38" t="s">
        <v>328</v>
      </c>
      <c r="B38" s="14" t="s">
        <v>242</v>
      </c>
      <c r="C38" s="59">
        <f>SUM(C30:C32)</f>
        <v>0.08094524567646874</v>
      </c>
      <c r="D38" s="59">
        <f aca="true" t="shared" si="0" ref="D38:V38">SUM(D30:D32)</f>
        <v>0.0904104579943322</v>
      </c>
      <c r="E38" s="59">
        <f t="shared" si="0"/>
        <v>0.0937434421560692</v>
      </c>
      <c r="F38" s="59">
        <f t="shared" si="0"/>
        <v>0.10362499276159592</v>
      </c>
      <c r="G38" s="59">
        <f t="shared" si="0"/>
        <v>0.11028608254644288</v>
      </c>
      <c r="H38" s="59">
        <f t="shared" si="0"/>
        <v>0.11610041116641419</v>
      </c>
      <c r="I38" s="59">
        <f t="shared" si="0"/>
        <v>0.12883565636758704</v>
      </c>
      <c r="J38" s="59">
        <f t="shared" si="0"/>
        <v>0.13009549235034396</v>
      </c>
      <c r="K38" s="59">
        <f t="shared" si="0"/>
        <v>0.1427473484654404</v>
      </c>
      <c r="L38" s="59">
        <f t="shared" si="0"/>
        <v>0.152687709977342</v>
      </c>
      <c r="M38" s="59">
        <f t="shared" si="0"/>
        <v>0.15290913217825527</v>
      </c>
      <c r="N38" s="59">
        <f t="shared" si="0"/>
        <v>0.14511451516954194</v>
      </c>
      <c r="O38" s="59">
        <f t="shared" si="0"/>
        <v>0.16285724835684218</v>
      </c>
      <c r="P38" s="59">
        <f t="shared" si="0"/>
        <v>0.16419454984477405</v>
      </c>
      <c r="Q38" s="59">
        <f t="shared" si="0"/>
        <v>0.17281238977779204</v>
      </c>
      <c r="R38" s="59">
        <f t="shared" si="0"/>
        <v>0.16722610722610723</v>
      </c>
      <c r="S38" s="59">
        <f t="shared" si="0"/>
        <v>0.1579640257972901</v>
      </c>
      <c r="T38" s="59">
        <f t="shared" si="0"/>
        <v>0.18081405215817165</v>
      </c>
      <c r="U38" s="59">
        <f t="shared" si="0"/>
        <v>0.17976878612716762</v>
      </c>
      <c r="V38" s="59">
        <f t="shared" si="0"/>
        <v>0.21558147068351152</v>
      </c>
    </row>
    <row r="40" spans="3:22" ht="12.75">
      <c r="C40" s="59">
        <f>SUM(C23:C32)</f>
        <v>1</v>
      </c>
      <c r="D40" s="59">
        <f aca="true" t="shared" si="1" ref="D40:V40">SUM(D23:D32)</f>
        <v>1</v>
      </c>
      <c r="E40" s="59">
        <f t="shared" si="1"/>
        <v>0.9999999999999999</v>
      </c>
      <c r="F40" s="59">
        <f t="shared" si="1"/>
        <v>1</v>
      </c>
      <c r="G40" s="59">
        <f t="shared" si="1"/>
        <v>1</v>
      </c>
      <c r="H40" s="59">
        <f t="shared" si="1"/>
        <v>0.9999999999999999</v>
      </c>
      <c r="I40" s="59">
        <f t="shared" si="1"/>
        <v>1</v>
      </c>
      <c r="J40" s="59">
        <f t="shared" si="1"/>
        <v>1</v>
      </c>
      <c r="K40" s="59">
        <f t="shared" si="1"/>
        <v>1.0000000000000002</v>
      </c>
      <c r="L40" s="59">
        <f t="shared" si="1"/>
        <v>1</v>
      </c>
      <c r="M40" s="59">
        <f t="shared" si="1"/>
        <v>0.9999999999999999</v>
      </c>
      <c r="N40" s="59">
        <f t="shared" si="1"/>
        <v>1</v>
      </c>
      <c r="O40" s="59">
        <f t="shared" si="1"/>
        <v>1</v>
      </c>
      <c r="P40" s="59">
        <f t="shared" si="1"/>
        <v>1.0000000000000002</v>
      </c>
      <c r="Q40" s="59">
        <f t="shared" si="1"/>
        <v>1</v>
      </c>
      <c r="R40" s="59">
        <f t="shared" si="1"/>
        <v>1</v>
      </c>
      <c r="S40" s="59">
        <f t="shared" si="1"/>
        <v>1</v>
      </c>
      <c r="T40" s="59">
        <f t="shared" si="1"/>
        <v>0.9999999999999999</v>
      </c>
      <c r="U40" s="59">
        <f t="shared" si="1"/>
        <v>1</v>
      </c>
      <c r="V40" s="59">
        <f t="shared" si="1"/>
        <v>1</v>
      </c>
    </row>
    <row r="41" spans="12:22" ht="12.75">
      <c r="L41" s="59">
        <f>SUM(L23:L31)+SUM(L34:L36)</f>
        <v>1</v>
      </c>
      <c r="M41" s="59">
        <f aca="true" t="shared" si="2" ref="M41:V41">SUM(M23:M31)+SUM(M34:M36)</f>
        <v>0.9999999999999999</v>
      </c>
      <c r="N41" s="59">
        <f t="shared" si="2"/>
        <v>1</v>
      </c>
      <c r="O41" s="59">
        <f t="shared" si="2"/>
        <v>1</v>
      </c>
      <c r="P41" s="59">
        <f t="shared" si="2"/>
        <v>1.0000000000000002</v>
      </c>
      <c r="Q41" s="59">
        <f t="shared" si="2"/>
        <v>1</v>
      </c>
      <c r="R41" s="59">
        <f t="shared" si="2"/>
        <v>1</v>
      </c>
      <c r="S41" s="59">
        <f t="shared" si="2"/>
        <v>1</v>
      </c>
      <c r="T41" s="59">
        <f t="shared" si="2"/>
        <v>0.9999999999999999</v>
      </c>
      <c r="U41" s="59">
        <f t="shared" si="2"/>
        <v>1</v>
      </c>
      <c r="V41" s="59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L15"/>
    </sheetView>
  </sheetViews>
  <sheetFormatPr defaultColWidth="9.140625" defaultRowHeight="12.75"/>
  <cols>
    <col min="1" max="1" width="27.00390625" style="0" customWidth="1"/>
  </cols>
  <sheetData>
    <row r="1" spans="1:12" ht="12.75">
      <c r="A1" s="7"/>
      <c r="B1" s="34">
        <v>1985</v>
      </c>
      <c r="C1" s="33">
        <v>1987</v>
      </c>
      <c r="D1" s="33">
        <v>1989</v>
      </c>
      <c r="E1" s="33">
        <v>1991</v>
      </c>
      <c r="F1" s="33">
        <v>1993</v>
      </c>
      <c r="G1" s="33">
        <v>1995</v>
      </c>
      <c r="H1" s="15">
        <v>1997</v>
      </c>
      <c r="I1" s="15">
        <v>1999</v>
      </c>
      <c r="J1" s="15">
        <v>2001</v>
      </c>
      <c r="K1" s="15">
        <v>2003</v>
      </c>
      <c r="L1" s="15">
        <v>2005</v>
      </c>
    </row>
    <row r="3" spans="1:12" ht="12.75">
      <c r="A3" t="s">
        <v>240</v>
      </c>
      <c r="B3" s="9">
        <v>1559</v>
      </c>
      <c r="C3" s="9">
        <v>1224</v>
      </c>
      <c r="D3" s="9">
        <v>3161</v>
      </c>
      <c r="E3" s="9">
        <v>2874</v>
      </c>
      <c r="F3" s="9">
        <v>1901</v>
      </c>
      <c r="G3" s="9">
        <v>2022</v>
      </c>
      <c r="H3" s="9">
        <v>1796</v>
      </c>
      <c r="I3" s="9">
        <v>2052</v>
      </c>
      <c r="J3" s="9">
        <v>2126</v>
      </c>
      <c r="K3" s="9">
        <v>1970</v>
      </c>
      <c r="L3" s="9">
        <v>2021</v>
      </c>
    </row>
    <row r="4" spans="1:12" ht="12.75">
      <c r="A4" s="59" t="s">
        <v>53</v>
      </c>
      <c r="B4" s="9">
        <v>660</v>
      </c>
      <c r="C4" s="9">
        <v>574</v>
      </c>
      <c r="D4" s="9">
        <v>2529</v>
      </c>
      <c r="E4" s="9">
        <v>2278</v>
      </c>
      <c r="F4" s="9">
        <v>1379</v>
      </c>
      <c r="G4" s="9">
        <v>1459</v>
      </c>
      <c r="H4" s="9">
        <v>1169</v>
      </c>
      <c r="I4" s="9">
        <v>1436</v>
      </c>
      <c r="J4" s="9">
        <v>1376</v>
      </c>
      <c r="K4" s="9">
        <v>1355</v>
      </c>
      <c r="L4" s="9">
        <v>1297</v>
      </c>
    </row>
    <row r="5" spans="1:12" ht="12.75">
      <c r="A5" s="59" t="s">
        <v>54</v>
      </c>
      <c r="B5" s="9">
        <v>474</v>
      </c>
      <c r="C5" s="9">
        <v>340</v>
      </c>
      <c r="D5" s="9">
        <v>391</v>
      </c>
      <c r="E5" s="9">
        <v>341</v>
      </c>
      <c r="F5" s="9">
        <v>287</v>
      </c>
      <c r="G5" s="9">
        <v>361</v>
      </c>
      <c r="H5" s="9">
        <v>469</v>
      </c>
      <c r="I5" s="9">
        <v>490</v>
      </c>
      <c r="J5" s="9">
        <v>614</v>
      </c>
      <c r="K5" s="9">
        <v>495</v>
      </c>
      <c r="L5" s="9">
        <v>642</v>
      </c>
    </row>
    <row r="6" spans="1:12" ht="12.75">
      <c r="A6" s="59" t="s">
        <v>55</v>
      </c>
      <c r="B6" s="9">
        <v>82</v>
      </c>
      <c r="C6" s="9">
        <v>94</v>
      </c>
      <c r="D6" s="9">
        <v>87</v>
      </c>
      <c r="E6" s="9">
        <v>67</v>
      </c>
      <c r="F6" s="9">
        <v>70</v>
      </c>
      <c r="G6" s="9">
        <v>61</v>
      </c>
      <c r="H6" s="9">
        <v>105</v>
      </c>
      <c r="I6" s="9">
        <v>104</v>
      </c>
      <c r="J6" s="9">
        <v>79</v>
      </c>
      <c r="K6" s="9">
        <v>93</v>
      </c>
      <c r="L6" s="9">
        <v>72</v>
      </c>
    </row>
    <row r="7" spans="1:12" ht="12.75">
      <c r="A7" s="59" t="s">
        <v>56</v>
      </c>
      <c r="B7" s="9">
        <v>453</v>
      </c>
      <c r="C7" s="9">
        <v>304</v>
      </c>
      <c r="D7" s="9">
        <v>233</v>
      </c>
      <c r="E7" s="9">
        <v>249</v>
      </c>
      <c r="F7" s="9">
        <v>220</v>
      </c>
      <c r="G7" s="9">
        <v>182</v>
      </c>
      <c r="H7" s="9">
        <v>125</v>
      </c>
      <c r="I7" s="9">
        <v>90</v>
      </c>
      <c r="J7" s="9">
        <v>111</v>
      </c>
      <c r="K7" s="9">
        <v>87</v>
      </c>
      <c r="L7" s="9">
        <v>53</v>
      </c>
    </row>
    <row r="8" spans="1:12" ht="12.75">
      <c r="A8" s="59" t="s">
        <v>57</v>
      </c>
      <c r="B8" s="9">
        <v>13</v>
      </c>
      <c r="C8" s="9">
        <v>3</v>
      </c>
      <c r="D8" s="9">
        <v>0</v>
      </c>
      <c r="E8" s="9">
        <v>3</v>
      </c>
      <c r="F8" s="9">
        <v>6</v>
      </c>
      <c r="G8" s="9">
        <v>6</v>
      </c>
      <c r="H8" s="9">
        <v>4</v>
      </c>
      <c r="I8" s="9">
        <v>7</v>
      </c>
      <c r="J8" s="9">
        <v>7</v>
      </c>
      <c r="K8" s="9">
        <v>7</v>
      </c>
      <c r="L8" s="9">
        <v>0</v>
      </c>
    </row>
    <row r="9" spans="1:12" ht="12.75">
      <c r="A9" s="5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t="s">
        <v>241</v>
      </c>
      <c r="B10" s="9">
        <v>5814</v>
      </c>
      <c r="C10" s="9">
        <v>5184</v>
      </c>
      <c r="D10" s="9">
        <v>4442</v>
      </c>
      <c r="E10" s="9">
        <v>4531</v>
      </c>
      <c r="F10" s="9">
        <v>4225</v>
      </c>
      <c r="G10" s="9">
        <v>4348</v>
      </c>
      <c r="H10" s="9">
        <v>5191</v>
      </c>
      <c r="I10" s="9">
        <v>4826</v>
      </c>
      <c r="J10" s="9">
        <v>4537</v>
      </c>
      <c r="K10" s="9">
        <v>4320</v>
      </c>
      <c r="L10" s="9">
        <v>4175</v>
      </c>
    </row>
    <row r="11" spans="1:12" ht="12.75">
      <c r="A11" s="59" t="s">
        <v>53</v>
      </c>
      <c r="B11" s="9">
        <v>274</v>
      </c>
      <c r="C11" s="9">
        <v>331</v>
      </c>
      <c r="D11" s="9">
        <v>258</v>
      </c>
      <c r="E11" s="9">
        <v>295</v>
      </c>
      <c r="F11" s="9">
        <v>287</v>
      </c>
      <c r="G11" s="9">
        <v>276</v>
      </c>
      <c r="H11" s="9">
        <v>304</v>
      </c>
      <c r="I11" s="9">
        <v>219</v>
      </c>
      <c r="J11" s="9">
        <v>261</v>
      </c>
      <c r="K11" s="9">
        <v>195</v>
      </c>
      <c r="L11" s="9">
        <v>155</v>
      </c>
    </row>
    <row r="12" spans="1:12" ht="12.75">
      <c r="A12" s="59" t="s">
        <v>54</v>
      </c>
      <c r="B12" s="9">
        <v>2485</v>
      </c>
      <c r="C12" s="9">
        <v>2257</v>
      </c>
      <c r="D12" s="9">
        <v>1912</v>
      </c>
      <c r="E12" s="9">
        <v>1977</v>
      </c>
      <c r="F12" s="9">
        <v>1528</v>
      </c>
      <c r="G12" s="9">
        <v>1579</v>
      </c>
      <c r="H12" s="9">
        <v>1684</v>
      </c>
      <c r="I12" s="9">
        <v>1728</v>
      </c>
      <c r="J12" s="9">
        <v>1513</v>
      </c>
      <c r="K12" s="9">
        <v>1447</v>
      </c>
      <c r="L12" s="9">
        <v>1273</v>
      </c>
    </row>
    <row r="13" spans="1:12" ht="12.75">
      <c r="A13" s="59" t="s">
        <v>56</v>
      </c>
      <c r="B13" s="9">
        <v>2585</v>
      </c>
      <c r="C13" s="9">
        <v>2253</v>
      </c>
      <c r="D13" s="9">
        <v>1855</v>
      </c>
      <c r="E13" s="9">
        <v>1914</v>
      </c>
      <c r="F13" s="9">
        <v>1880</v>
      </c>
      <c r="G13" s="9">
        <v>1887</v>
      </c>
      <c r="H13" s="9">
        <v>1414</v>
      </c>
      <c r="I13" s="9">
        <v>1478</v>
      </c>
      <c r="J13" s="9">
        <v>1454</v>
      </c>
      <c r="K13" s="9">
        <v>1303</v>
      </c>
      <c r="L13" s="9">
        <v>1213</v>
      </c>
    </row>
    <row r="14" spans="1:12" ht="12.75">
      <c r="A14" s="59" t="s">
        <v>57</v>
      </c>
      <c r="B14" s="9">
        <v>88</v>
      </c>
      <c r="C14" s="9">
        <v>34</v>
      </c>
      <c r="D14" s="9">
        <v>62</v>
      </c>
      <c r="E14" s="9">
        <v>47</v>
      </c>
      <c r="F14" s="9">
        <v>48</v>
      </c>
      <c r="G14" s="9">
        <v>36</v>
      </c>
      <c r="H14" s="9">
        <v>89</v>
      </c>
      <c r="I14" s="9">
        <v>125</v>
      </c>
      <c r="J14" s="9">
        <v>98</v>
      </c>
      <c r="K14" s="9">
        <v>148</v>
      </c>
      <c r="L14" s="9">
        <v>118</v>
      </c>
    </row>
    <row r="15" spans="1:12" ht="12.75">
      <c r="A15" s="59" t="s">
        <v>58</v>
      </c>
      <c r="B15" s="9">
        <v>860</v>
      </c>
      <c r="C15" s="9">
        <v>749</v>
      </c>
      <c r="D15" s="9">
        <v>658</v>
      </c>
      <c r="E15" s="9">
        <v>560</v>
      </c>
      <c r="F15" s="9">
        <v>737</v>
      </c>
      <c r="G15" s="9">
        <v>794</v>
      </c>
      <c r="H15" s="9">
        <v>1959</v>
      </c>
      <c r="I15" s="9">
        <v>1512</v>
      </c>
      <c r="J15" s="9">
        <v>1443</v>
      </c>
      <c r="K15" s="9">
        <v>1410</v>
      </c>
      <c r="L15" s="9">
        <v>1544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B3" sqref="B3:L15"/>
    </sheetView>
  </sheetViews>
  <sheetFormatPr defaultColWidth="9.140625" defaultRowHeight="12.75"/>
  <cols>
    <col min="1" max="1" width="27.00390625" style="0" customWidth="1"/>
  </cols>
  <sheetData>
    <row r="1" spans="1:12" ht="12.75">
      <c r="A1" s="7"/>
      <c r="B1" s="34">
        <v>1985</v>
      </c>
      <c r="C1" s="33">
        <v>1987</v>
      </c>
      <c r="D1" s="33">
        <v>1989</v>
      </c>
      <c r="E1" s="33">
        <v>1991</v>
      </c>
      <c r="F1" s="33">
        <v>1993</v>
      </c>
      <c r="G1" s="33">
        <v>1995</v>
      </c>
      <c r="H1" s="15">
        <v>1997</v>
      </c>
      <c r="I1" s="15">
        <v>1999</v>
      </c>
      <c r="J1" s="15">
        <v>2001</v>
      </c>
      <c r="K1" s="15">
        <v>2003</v>
      </c>
      <c r="L1" s="15">
        <v>2005</v>
      </c>
    </row>
    <row r="3" spans="1:12" ht="12.75">
      <c r="A3" t="s">
        <v>371</v>
      </c>
      <c r="B3" s="59">
        <v>0.01763076053152389</v>
      </c>
      <c r="C3" s="59">
        <v>0.013467124372854503</v>
      </c>
      <c r="D3" s="59">
        <v>0.033741447220947234</v>
      </c>
      <c r="E3" s="59">
        <v>0.03085445586009211</v>
      </c>
      <c r="F3" s="59">
        <v>0.02006883155272159</v>
      </c>
      <c r="G3" s="59">
        <v>0.02069749112014167</v>
      </c>
      <c r="H3" s="59">
        <v>0.01805260988872918</v>
      </c>
      <c r="I3" s="59">
        <v>0.01996050698909565</v>
      </c>
      <c r="J3" s="59">
        <v>0.020007340416521583</v>
      </c>
      <c r="K3" s="59">
        <v>0.018612649042913022</v>
      </c>
      <c r="L3" s="59">
        <v>0.018563253759035923</v>
      </c>
    </row>
    <row r="4" spans="1:12" ht="12.75">
      <c r="A4" s="59" t="s">
        <v>53</v>
      </c>
      <c r="B4" s="59">
        <v>0.007463952502120441</v>
      </c>
      <c r="C4" s="59">
        <v>0.006315465187923599</v>
      </c>
      <c r="D4" s="59">
        <v>0.026995292635803723</v>
      </c>
      <c r="E4" s="59">
        <v>0.024455967449300568</v>
      </c>
      <c r="F4" s="59">
        <v>0.014558084540348803</v>
      </c>
      <c r="G4" s="59">
        <v>0.01493453983396968</v>
      </c>
      <c r="H4" s="59">
        <v>0.011750278930915597</v>
      </c>
      <c r="I4" s="59">
        <v>0.013968463955332043</v>
      </c>
      <c r="J4" s="59">
        <v>0.012949247607306537</v>
      </c>
      <c r="K4" s="59">
        <v>0.012802101245252358</v>
      </c>
      <c r="L4" s="59">
        <v>0.011913181655353584</v>
      </c>
    </row>
    <row r="5" spans="1:12" ht="12.75">
      <c r="A5" s="59" t="s">
        <v>54</v>
      </c>
      <c r="B5" s="59">
        <v>0.005360474978795589</v>
      </c>
      <c r="C5" s="59">
        <v>0.0037408678813484727</v>
      </c>
      <c r="D5" s="59">
        <v>0.004173649434796068</v>
      </c>
      <c r="E5" s="59">
        <v>0.003660880114228048</v>
      </c>
      <c r="F5" s="59">
        <v>0.0030298551581436593</v>
      </c>
      <c r="G5" s="59">
        <v>0.003695249403744383</v>
      </c>
      <c r="H5" s="59">
        <v>0.004714183762702664</v>
      </c>
      <c r="I5" s="59">
        <v>0.004766397867766505</v>
      </c>
      <c r="J5" s="59">
        <v>0.005778225313144051</v>
      </c>
      <c r="K5" s="59">
        <v>0.004676782373726876</v>
      </c>
      <c r="L5" s="59">
        <v>0.005896887141663069</v>
      </c>
    </row>
    <row r="6" spans="1:12" ht="12.75">
      <c r="A6" s="59" t="s">
        <v>55</v>
      </c>
      <c r="B6" s="59">
        <v>0.0009273395532937517</v>
      </c>
      <c r="C6" s="59">
        <v>0.0010342399436669308</v>
      </c>
      <c r="D6" s="59">
        <v>0.0009286636849801992</v>
      </c>
      <c r="E6" s="59">
        <v>0.0007192931602735461</v>
      </c>
      <c r="F6" s="59">
        <v>0.0007389890629618681</v>
      </c>
      <c r="G6" s="59">
        <v>0.0006244050239014055</v>
      </c>
      <c r="H6" s="59">
        <v>0.0010554142752319398</v>
      </c>
      <c r="I6" s="59">
        <v>0.0010116436290769724</v>
      </c>
      <c r="J6" s="59">
        <v>0.0007434524425706515</v>
      </c>
      <c r="K6" s="59">
        <v>0.0008786682035486858</v>
      </c>
      <c r="L6" s="59">
        <v>0.0006613331373827742</v>
      </c>
    </row>
    <row r="7" spans="1:12" ht="12.75">
      <c r="A7" s="59" t="s">
        <v>56</v>
      </c>
      <c r="B7" s="59">
        <v>0.005122985581000848</v>
      </c>
      <c r="C7" s="59">
        <v>0.0033447759880292226</v>
      </c>
      <c r="D7" s="59">
        <v>0.0024871107885101884</v>
      </c>
      <c r="E7" s="59">
        <v>0.0026731939837031787</v>
      </c>
      <c r="F7" s="59">
        <v>0.0023225370550230143</v>
      </c>
      <c r="G7" s="59">
        <v>0.0018629789237714063</v>
      </c>
      <c r="H7" s="59">
        <v>0.0012564455657523093</v>
      </c>
      <c r="I7" s="59">
        <v>0.0008754608328550723</v>
      </c>
      <c r="J7" s="59">
        <v>0.0010445977357638268</v>
      </c>
      <c r="K7" s="59">
        <v>0.0008219799323519964</v>
      </c>
      <c r="L7" s="59">
        <v>0.00048681467057343095</v>
      </c>
    </row>
    <row r="8" spans="1:12" ht="12.75">
      <c r="A8" s="59" t="s">
        <v>57</v>
      </c>
      <c r="B8" s="59">
        <v>0.00014701724625388747</v>
      </c>
      <c r="C8" s="59">
        <v>3.300765777660417E-05</v>
      </c>
      <c r="D8" s="59">
        <v>0</v>
      </c>
      <c r="E8" s="59">
        <v>3.220715643015878E-05</v>
      </c>
      <c r="F8" s="59">
        <v>6.334191968244584E-05</v>
      </c>
      <c r="G8" s="59">
        <v>6.141688759685955E-05</v>
      </c>
      <c r="H8" s="59">
        <v>4.02062581040739E-05</v>
      </c>
      <c r="I8" s="59">
        <v>6.809139811095007E-05</v>
      </c>
      <c r="J8" s="59">
        <v>6.587553288600709E-05</v>
      </c>
      <c r="K8" s="59">
        <v>6.613631639613763E-05</v>
      </c>
      <c r="L8" s="59">
        <v>0</v>
      </c>
    </row>
    <row r="9" spans="1:12" ht="12.75">
      <c r="A9" s="5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t="s">
        <v>372</v>
      </c>
      <c r="B10" s="59">
        <v>0.06575063613231552</v>
      </c>
      <c r="C10" s="59">
        <v>0.05703723263797201</v>
      </c>
      <c r="D10" s="59">
        <v>0.047415219410138446</v>
      </c>
      <c r="E10" s="59">
        <v>0.04864354192834981</v>
      </c>
      <c r="F10" s="59">
        <v>0.044603268443055615</v>
      </c>
      <c r="G10" s="59">
        <v>0.04450677121185755</v>
      </c>
      <c r="H10" s="59">
        <v>0.052177671454561904</v>
      </c>
      <c r="I10" s="59">
        <v>0.04694415532620643</v>
      </c>
      <c r="J10" s="59">
        <v>0.04269675610054489</v>
      </c>
      <c r="K10" s="59">
        <v>0.04081555526161637</v>
      </c>
      <c r="L10" s="59">
        <v>0.03834813678573725</v>
      </c>
    </row>
    <row r="11" spans="1:12" ht="12.75">
      <c r="A11" s="59" t="s">
        <v>53</v>
      </c>
      <c r="B11" s="59">
        <v>0.0030986711902742437</v>
      </c>
      <c r="C11" s="59">
        <v>0.0036418449080186602</v>
      </c>
      <c r="D11" s="59">
        <v>0.002753968169251625</v>
      </c>
      <c r="E11" s="59">
        <v>0.0031670370489656134</v>
      </c>
      <c r="F11" s="59">
        <v>0.0030298551581436593</v>
      </c>
      <c r="G11" s="59">
        <v>0.0028251768294555394</v>
      </c>
      <c r="H11" s="59">
        <v>0.003055675615909616</v>
      </c>
      <c r="I11" s="59">
        <v>0.0021302880266140093</v>
      </c>
      <c r="J11" s="59">
        <v>0.002456216297606836</v>
      </c>
      <c r="K11" s="59">
        <v>0.0018423688138924056</v>
      </c>
      <c r="L11" s="59">
        <v>0.0014237032818656943</v>
      </c>
    </row>
    <row r="12" spans="1:12" ht="12.75">
      <c r="A12" s="59" t="s">
        <v>54</v>
      </c>
      <c r="B12" s="59">
        <v>0.028102912072377723</v>
      </c>
      <c r="C12" s="59">
        <v>0.02483276120059854</v>
      </c>
      <c r="D12" s="59">
        <v>0.020409252479105067</v>
      </c>
      <c r="E12" s="59">
        <v>0.021224516087474637</v>
      </c>
      <c r="F12" s="59">
        <v>0.01613107554579621</v>
      </c>
      <c r="G12" s="59">
        <v>0.01616287758590687</v>
      </c>
      <c r="H12" s="59">
        <v>0.01692683466181511</v>
      </c>
      <c r="I12" s="59">
        <v>0.016808847990817388</v>
      </c>
      <c r="J12" s="59">
        <v>0.01423852589378982</v>
      </c>
      <c r="K12" s="59">
        <v>0.013671321403601595</v>
      </c>
      <c r="L12" s="59">
        <v>0.011692737276225992</v>
      </c>
    </row>
    <row r="13" spans="1:12" ht="12.75">
      <c r="A13" s="59" t="s">
        <v>56</v>
      </c>
      <c r="B13" s="59">
        <v>0.029233813966638395</v>
      </c>
      <c r="C13" s="59">
        <v>0.024788750990229733</v>
      </c>
      <c r="D13" s="59">
        <v>0.01980081765101459</v>
      </c>
      <c r="E13" s="59">
        <v>0.0205481658024413</v>
      </c>
      <c r="F13" s="59">
        <v>0.01984713483383303</v>
      </c>
      <c r="G13" s="59">
        <v>0.01931561114921233</v>
      </c>
      <c r="H13" s="59">
        <v>0.014212912239790123</v>
      </c>
      <c r="I13" s="59">
        <v>0.014377012343997743</v>
      </c>
      <c r="J13" s="59">
        <v>0.013683289259464902</v>
      </c>
      <c r="K13" s="59">
        <v>0.012310802894881049</v>
      </c>
      <c r="L13" s="59">
        <v>0.011141626328407013</v>
      </c>
    </row>
    <row r="14" spans="1:12" ht="12.75">
      <c r="A14" s="59" t="s">
        <v>57</v>
      </c>
      <c r="B14" s="59">
        <v>0.000995193666949392</v>
      </c>
      <c r="C14" s="59">
        <v>0.0003740867881348473</v>
      </c>
      <c r="D14" s="59">
        <v>0.0006618063042387627</v>
      </c>
      <c r="E14" s="59">
        <v>0.0005045787840724876</v>
      </c>
      <c r="F14" s="59">
        <v>0.0005067353574595667</v>
      </c>
      <c r="G14" s="59">
        <v>0.0003685013255811573</v>
      </c>
      <c r="H14" s="59">
        <v>0.0008945892428156442</v>
      </c>
      <c r="I14" s="59">
        <v>0.0012159178234098227</v>
      </c>
      <c r="J14" s="59">
        <v>0.0009222574604040993</v>
      </c>
      <c r="K14" s="59">
        <v>0.0013983106895183387</v>
      </c>
      <c r="L14" s="59">
        <v>0.0010838515307106575</v>
      </c>
    </row>
    <row r="15" spans="1:12" ht="12.75">
      <c r="A15" s="59" t="s">
        <v>58</v>
      </c>
      <c r="B15" s="59">
        <v>0.009725756290641787</v>
      </c>
      <c r="C15" s="59">
        <v>0.008240911891558842</v>
      </c>
      <c r="D15" s="59">
        <v>0.00702368626111461</v>
      </c>
      <c r="E15" s="59">
        <v>0.006012002533629639</v>
      </c>
      <c r="F15" s="59">
        <v>0.007780499134327098</v>
      </c>
      <c r="G15" s="59">
        <v>0.008127501458651081</v>
      </c>
      <c r="H15" s="59">
        <v>0.019691014906470194</v>
      </c>
      <c r="I15" s="59">
        <v>0.014707741991965215</v>
      </c>
      <c r="J15" s="59">
        <v>0.013579770564929749</v>
      </c>
      <c r="K15" s="59">
        <v>0.01332174373122201</v>
      </c>
      <c r="L15" s="59">
        <v>0.014181921723875045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E1">
      <selection activeCell="E1" sqref="A1:IV1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s="59" t="s">
        <v>366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5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59" t="s">
        <v>43</v>
      </c>
      <c r="B4" s="9">
        <v>72623</v>
      </c>
      <c r="C4" s="9">
        <v>73596</v>
      </c>
      <c r="D4" s="9">
        <v>75469</v>
      </c>
      <c r="E4" s="9">
        <v>77280</v>
      </c>
      <c r="F4" s="9">
        <v>78768</v>
      </c>
      <c r="G4" s="9">
        <v>80777</v>
      </c>
      <c r="H4" s="9">
        <v>82752</v>
      </c>
      <c r="I4" s="9">
        <v>84259</v>
      </c>
      <c r="J4" s="9">
        <v>87794</v>
      </c>
      <c r="K4" s="9">
        <v>90330</v>
      </c>
      <c r="L4" s="9">
        <v>92943</v>
      </c>
      <c r="M4" s="9">
        <v>95966</v>
      </c>
      <c r="N4" s="9">
        <v>99104</v>
      </c>
      <c r="O4" s="9">
        <v>98579</v>
      </c>
      <c r="P4" s="9">
        <v>100091</v>
      </c>
      <c r="Q4" s="9">
        <v>103165</v>
      </c>
      <c r="R4" s="9">
        <v>103978</v>
      </c>
      <c r="S4" s="9">
        <v>107652</v>
      </c>
      <c r="T4" s="9">
        <v>111349</v>
      </c>
      <c r="U4" s="9">
        <v>112068</v>
      </c>
      <c r="V4" s="9">
        <v>115649</v>
      </c>
    </row>
    <row r="5" spans="1:22" ht="12.75">
      <c r="A5" t="s">
        <v>44</v>
      </c>
      <c r="B5" s="9">
        <v>2671</v>
      </c>
      <c r="C5" s="9">
        <v>2291</v>
      </c>
      <c r="D5" s="9">
        <v>2084</v>
      </c>
      <c r="E5" s="9">
        <v>2036</v>
      </c>
      <c r="F5" s="9">
        <v>1948</v>
      </c>
      <c r="G5" s="9">
        <v>2056</v>
      </c>
      <c r="H5" s="9">
        <v>1834</v>
      </c>
      <c r="I5" s="9">
        <v>1765</v>
      </c>
      <c r="J5" s="9">
        <v>1816</v>
      </c>
      <c r="K5" s="9">
        <v>1345</v>
      </c>
      <c r="L5" s="9">
        <v>3808</v>
      </c>
      <c r="M5" s="9">
        <v>3849</v>
      </c>
      <c r="N5" s="9">
        <v>3676</v>
      </c>
      <c r="O5" s="9">
        <v>3285</v>
      </c>
      <c r="P5" s="9">
        <v>3431</v>
      </c>
      <c r="Q5" s="9">
        <v>3238</v>
      </c>
      <c r="R5" s="9">
        <v>5213</v>
      </c>
      <c r="S5" s="9">
        <v>4640</v>
      </c>
      <c r="T5" s="9">
        <v>4690</v>
      </c>
      <c r="U5" s="9">
        <v>5144</v>
      </c>
      <c r="V5" s="9">
        <v>4883</v>
      </c>
    </row>
    <row r="6" spans="2:22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59" t="s">
        <v>45</v>
      </c>
      <c r="B7" s="9">
        <v>71720</v>
      </c>
      <c r="C7" s="9">
        <v>72850</v>
      </c>
      <c r="D7" s="9">
        <v>74847</v>
      </c>
      <c r="E7" s="9">
        <v>76655</v>
      </c>
      <c r="F7" s="9">
        <v>78174</v>
      </c>
      <c r="G7" s="9">
        <v>80331</v>
      </c>
      <c r="H7" s="9">
        <v>82233</v>
      </c>
      <c r="I7" s="9">
        <v>83665</v>
      </c>
      <c r="J7" s="9">
        <v>87235</v>
      </c>
      <c r="K7" s="9">
        <v>89441</v>
      </c>
      <c r="L7" s="14" t="s">
        <v>242</v>
      </c>
      <c r="M7" s="14" t="s">
        <v>242</v>
      </c>
      <c r="N7" s="9">
        <v>99641</v>
      </c>
      <c r="O7" s="9">
        <v>99015</v>
      </c>
      <c r="P7" s="9">
        <v>101708</v>
      </c>
      <c r="Q7" s="9">
        <v>104410</v>
      </c>
      <c r="R7" s="9">
        <v>107423</v>
      </c>
      <c r="S7" s="9">
        <v>110136</v>
      </c>
      <c r="T7" s="9">
        <v>113987</v>
      </c>
      <c r="U7" s="9">
        <v>115034</v>
      </c>
      <c r="V7" s="9">
        <v>118435</v>
      </c>
    </row>
    <row r="8" spans="1:22" ht="12.75">
      <c r="A8" s="59" t="s">
        <v>46</v>
      </c>
      <c r="B8" s="9">
        <v>3573</v>
      </c>
      <c r="C8" s="9">
        <v>3036</v>
      </c>
      <c r="D8" s="9">
        <v>2706</v>
      </c>
      <c r="E8" s="9">
        <v>2661</v>
      </c>
      <c r="F8" s="9">
        <v>2542</v>
      </c>
      <c r="G8" s="9">
        <v>2503</v>
      </c>
      <c r="H8" s="9">
        <v>2353</v>
      </c>
      <c r="I8" s="9">
        <v>2359</v>
      </c>
      <c r="J8" s="9">
        <v>2375</v>
      </c>
      <c r="K8" s="9">
        <v>2233</v>
      </c>
      <c r="L8" s="14" t="s">
        <v>242</v>
      </c>
      <c r="M8" s="14" t="s">
        <v>242</v>
      </c>
      <c r="N8" s="9">
        <v>3139</v>
      </c>
      <c r="O8" s="9">
        <v>2849</v>
      </c>
      <c r="P8" s="9">
        <v>1814</v>
      </c>
      <c r="Q8" s="9">
        <v>1993</v>
      </c>
      <c r="R8" s="9">
        <v>1767</v>
      </c>
      <c r="S8" s="9">
        <v>2156</v>
      </c>
      <c r="T8" s="9">
        <v>2051</v>
      </c>
      <c r="U8" s="9">
        <v>2177</v>
      </c>
      <c r="V8" s="9">
        <v>2097</v>
      </c>
    </row>
    <row r="10" spans="1:22" ht="12.75">
      <c r="A10" t="s">
        <v>370</v>
      </c>
      <c r="B10" s="9">
        <v>830</v>
      </c>
      <c r="C10" s="9">
        <v>723</v>
      </c>
      <c r="D10" s="9">
        <v>695</v>
      </c>
      <c r="E10" s="9">
        <v>716</v>
      </c>
      <c r="F10" s="9">
        <v>818</v>
      </c>
      <c r="G10" s="9">
        <v>960</v>
      </c>
      <c r="H10" s="9">
        <v>951</v>
      </c>
      <c r="I10" s="9">
        <v>997</v>
      </c>
      <c r="J10" s="9">
        <v>952</v>
      </c>
      <c r="K10" s="9">
        <v>976</v>
      </c>
      <c r="L10" s="9">
        <v>752</v>
      </c>
      <c r="M10" s="9">
        <v>908</v>
      </c>
      <c r="N10" s="9">
        <v>959</v>
      </c>
      <c r="O10" s="9">
        <v>1148</v>
      </c>
      <c r="P10" s="9">
        <v>1282</v>
      </c>
      <c r="Q10" s="9">
        <v>1436</v>
      </c>
      <c r="R10" s="9">
        <v>617</v>
      </c>
      <c r="S10" s="9">
        <v>898</v>
      </c>
      <c r="T10" s="9">
        <v>709</v>
      </c>
      <c r="U10" s="9">
        <v>853</v>
      </c>
      <c r="V10" s="9">
        <v>796</v>
      </c>
    </row>
    <row r="12" ht="12.75">
      <c r="A12" t="s">
        <v>367</v>
      </c>
    </row>
    <row r="14" spans="1:22" ht="12.75">
      <c r="A14" t="s">
        <v>260</v>
      </c>
      <c r="B14" s="9">
        <v>2749</v>
      </c>
      <c r="C14" s="9">
        <v>2375</v>
      </c>
      <c r="D14" s="9">
        <v>1336</v>
      </c>
      <c r="E14" s="9">
        <v>1131</v>
      </c>
      <c r="F14" s="9">
        <v>1003</v>
      </c>
      <c r="G14" s="9">
        <v>2447</v>
      </c>
      <c r="H14" s="9">
        <v>2278</v>
      </c>
      <c r="I14" s="9">
        <v>2356</v>
      </c>
      <c r="J14" s="9">
        <v>2375</v>
      </c>
      <c r="K14" s="9">
        <v>2263</v>
      </c>
      <c r="L14" s="9">
        <v>2009</v>
      </c>
      <c r="M14" s="9">
        <v>1875</v>
      </c>
      <c r="N14" s="9">
        <v>1627</v>
      </c>
      <c r="O14" s="9">
        <v>1491</v>
      </c>
      <c r="P14" s="9">
        <v>1603</v>
      </c>
      <c r="Q14" s="9">
        <v>1760</v>
      </c>
      <c r="R14" s="9">
        <v>788</v>
      </c>
      <c r="S14" s="9">
        <v>623</v>
      </c>
      <c r="T14" s="9">
        <v>535</v>
      </c>
      <c r="U14" s="9">
        <v>643</v>
      </c>
      <c r="V14" s="9">
        <v>700</v>
      </c>
    </row>
    <row r="15" spans="1:22" ht="12.75">
      <c r="A15" t="s">
        <v>261</v>
      </c>
      <c r="B15" s="9">
        <v>3661</v>
      </c>
      <c r="C15" s="9">
        <v>3078</v>
      </c>
      <c r="D15" s="9">
        <v>2528</v>
      </c>
      <c r="E15" s="9">
        <v>2355</v>
      </c>
      <c r="F15" s="9">
        <v>2147</v>
      </c>
      <c r="G15" s="9">
        <v>2817</v>
      </c>
      <c r="H15" s="9">
        <v>2705</v>
      </c>
      <c r="I15" s="9">
        <v>2790</v>
      </c>
      <c r="J15" s="9">
        <v>2728</v>
      </c>
      <c r="K15" s="9">
        <v>2580</v>
      </c>
      <c r="L15" s="9">
        <v>2502</v>
      </c>
      <c r="M15" s="9">
        <v>2229</v>
      </c>
      <c r="N15" s="9">
        <v>1779</v>
      </c>
      <c r="O15" s="9">
        <v>1637</v>
      </c>
      <c r="P15" s="9">
        <v>1721</v>
      </c>
      <c r="Q15" s="9">
        <v>1816</v>
      </c>
      <c r="R15" s="9">
        <v>2122</v>
      </c>
      <c r="S15" s="9">
        <v>1677</v>
      </c>
      <c r="T15" s="9">
        <v>1308</v>
      </c>
      <c r="U15" s="9">
        <v>1486</v>
      </c>
      <c r="V15" s="9">
        <v>1543</v>
      </c>
    </row>
    <row r="16" spans="1:22" ht="12.75">
      <c r="A16" t="s">
        <v>262</v>
      </c>
      <c r="B16" s="9">
        <v>9938</v>
      </c>
      <c r="C16" s="9">
        <v>9391</v>
      </c>
      <c r="D16" s="9">
        <v>8416</v>
      </c>
      <c r="E16" s="9">
        <v>8294</v>
      </c>
      <c r="F16" s="9">
        <v>8088</v>
      </c>
      <c r="G16" s="9">
        <v>8981</v>
      </c>
      <c r="H16" s="9">
        <v>9446</v>
      </c>
      <c r="I16" s="9">
        <v>10420</v>
      </c>
      <c r="J16" s="9">
        <v>8576</v>
      </c>
      <c r="K16" s="9">
        <v>12525</v>
      </c>
      <c r="L16" s="9">
        <v>13515</v>
      </c>
      <c r="M16" s="9">
        <v>13321</v>
      </c>
      <c r="N16" s="9">
        <v>13631</v>
      </c>
      <c r="O16" s="9">
        <v>12241</v>
      </c>
      <c r="P16" s="9">
        <v>12410</v>
      </c>
      <c r="Q16" s="9">
        <v>12152</v>
      </c>
      <c r="R16" s="9">
        <v>10623</v>
      </c>
      <c r="S16" s="9">
        <v>11365</v>
      </c>
      <c r="T16" s="9">
        <v>11390</v>
      </c>
      <c r="U16" s="9">
        <v>9539</v>
      </c>
      <c r="V16" s="9">
        <v>9753</v>
      </c>
    </row>
    <row r="17" spans="2:22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t="s">
        <v>259</v>
      </c>
      <c r="B18" s="9">
        <v>1332</v>
      </c>
      <c r="C18" s="9">
        <v>1308</v>
      </c>
      <c r="D18" s="9">
        <v>1298</v>
      </c>
      <c r="E18" s="9">
        <v>1259</v>
      </c>
      <c r="F18" s="9">
        <v>1324</v>
      </c>
      <c r="G18" s="9">
        <v>1438</v>
      </c>
      <c r="H18" s="9">
        <v>1406</v>
      </c>
      <c r="I18" s="9">
        <v>1564</v>
      </c>
      <c r="J18" s="9">
        <v>1561</v>
      </c>
      <c r="K18" s="9">
        <v>1826</v>
      </c>
      <c r="L18" s="9">
        <v>1483</v>
      </c>
      <c r="M18" s="9">
        <v>1223</v>
      </c>
      <c r="N18" s="9">
        <v>1081</v>
      </c>
      <c r="O18" s="9">
        <v>1139</v>
      </c>
      <c r="P18" s="9">
        <v>1148</v>
      </c>
      <c r="Q18" s="9">
        <v>1074</v>
      </c>
      <c r="R18" s="9">
        <v>1168</v>
      </c>
      <c r="S18" s="9">
        <v>1183</v>
      </c>
      <c r="T18" s="9">
        <v>1148</v>
      </c>
      <c r="U18" s="9">
        <v>978</v>
      </c>
      <c r="V18" s="9">
        <v>981</v>
      </c>
    </row>
    <row r="19" spans="1:22" ht="12.75">
      <c r="A19" t="s">
        <v>263</v>
      </c>
      <c r="B19" s="9">
        <v>4179</v>
      </c>
      <c r="C19" s="9">
        <v>4024</v>
      </c>
      <c r="D19" s="9">
        <v>3847</v>
      </c>
      <c r="E19" s="9">
        <v>3945</v>
      </c>
      <c r="F19" s="9">
        <v>3891</v>
      </c>
      <c r="G19" s="9">
        <v>4591</v>
      </c>
      <c r="H19" s="9">
        <v>4673</v>
      </c>
      <c r="I19" s="9">
        <v>4459</v>
      </c>
      <c r="J19" s="9">
        <v>4647</v>
      </c>
      <c r="K19" s="9">
        <v>5210</v>
      </c>
      <c r="L19" s="9">
        <v>5572</v>
      </c>
      <c r="M19" s="9">
        <v>5189</v>
      </c>
      <c r="N19" s="9">
        <v>4933</v>
      </c>
      <c r="O19" s="9">
        <v>4705</v>
      </c>
      <c r="P19" s="9">
        <v>4542</v>
      </c>
      <c r="Q19" s="9">
        <v>4527</v>
      </c>
      <c r="R19" s="9">
        <v>5748</v>
      </c>
      <c r="S19" s="9">
        <v>5675</v>
      </c>
      <c r="T19" s="9">
        <v>5697</v>
      </c>
      <c r="U19" s="9">
        <v>5232</v>
      </c>
      <c r="V19" s="9">
        <v>5241</v>
      </c>
    </row>
    <row r="20" spans="2:22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t="s">
        <v>368</v>
      </c>
      <c r="B21" s="9">
        <v>5260</v>
      </c>
      <c r="C21" s="9">
        <v>4737</v>
      </c>
      <c r="D21" s="9">
        <v>4491</v>
      </c>
      <c r="E21" s="9">
        <v>4375</v>
      </c>
      <c r="F21" s="9">
        <v>4517</v>
      </c>
      <c r="G21" s="9">
        <v>4681</v>
      </c>
      <c r="H21" s="9">
        <v>5624</v>
      </c>
      <c r="I21" s="9">
        <v>5169</v>
      </c>
      <c r="J21" s="9">
        <v>4928</v>
      </c>
      <c r="K21" s="9">
        <v>6259</v>
      </c>
      <c r="L21" s="9">
        <v>7751</v>
      </c>
      <c r="M21" s="9">
        <v>6834</v>
      </c>
      <c r="N21" s="9">
        <v>6792</v>
      </c>
      <c r="O21" s="9">
        <v>6281</v>
      </c>
      <c r="P21" s="9">
        <v>7163</v>
      </c>
      <c r="Q21" s="9">
        <v>7266</v>
      </c>
      <c r="R21" s="9">
        <v>6703</v>
      </c>
      <c r="S21" s="9">
        <v>6168</v>
      </c>
      <c r="T21" s="9">
        <v>6430</v>
      </c>
      <c r="U21" s="9">
        <v>5285</v>
      </c>
      <c r="V21" s="9">
        <v>5828</v>
      </c>
    </row>
    <row r="22" spans="1:22" ht="12.75">
      <c r="A22" t="s">
        <v>369</v>
      </c>
      <c r="B22" s="9">
        <v>9346</v>
      </c>
      <c r="C22" s="9">
        <v>8688</v>
      </c>
      <c r="D22" s="9">
        <v>8475</v>
      </c>
      <c r="E22" s="9">
        <v>7556</v>
      </c>
      <c r="F22" s="9">
        <v>8148</v>
      </c>
      <c r="G22" s="9">
        <v>8455</v>
      </c>
      <c r="H22" s="14" t="s">
        <v>242</v>
      </c>
      <c r="I22" s="14" t="s">
        <v>242</v>
      </c>
      <c r="J22" s="14" t="s">
        <v>242</v>
      </c>
      <c r="K22" s="9">
        <v>9617</v>
      </c>
      <c r="L22" s="9">
        <v>6039</v>
      </c>
      <c r="M22" s="9">
        <v>5592</v>
      </c>
      <c r="N22" s="9">
        <v>5410</v>
      </c>
      <c r="O22" s="9">
        <v>4849</v>
      </c>
      <c r="P22" s="9">
        <v>6198</v>
      </c>
      <c r="Q22" s="9">
        <v>4944</v>
      </c>
      <c r="R22" s="9">
        <v>4202</v>
      </c>
      <c r="S22" s="9">
        <v>3934</v>
      </c>
      <c r="T22" s="9">
        <v>3861</v>
      </c>
      <c r="U22" s="9">
        <v>3581</v>
      </c>
      <c r="V22" s="9">
        <v>3546</v>
      </c>
    </row>
    <row r="23" spans="2:22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K4" sqref="K4:K22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ht="12.75">
      <c r="A2" s="59" t="s">
        <v>366</v>
      </c>
    </row>
    <row r="3" spans="1:22" ht="12.75">
      <c r="A3" s="5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59" t="s">
        <v>43</v>
      </c>
      <c r="B4" s="59">
        <v>0.9645385361188955</v>
      </c>
      <c r="C4" s="59">
        <v>0.9698231557863111</v>
      </c>
      <c r="D4" s="59">
        <v>0.9731280543628228</v>
      </c>
      <c r="E4" s="59">
        <v>0.9743305259972768</v>
      </c>
      <c r="F4" s="59">
        <v>0.9758659993062094</v>
      </c>
      <c r="G4" s="59">
        <v>0.975178974563278</v>
      </c>
      <c r="H4" s="59">
        <v>0.9783179249521198</v>
      </c>
      <c r="I4" s="59">
        <v>0.9794824700083697</v>
      </c>
      <c r="J4" s="59">
        <v>0.9797344046423391</v>
      </c>
      <c r="K4" s="59">
        <v>0.9853286064903191</v>
      </c>
      <c r="L4" s="59">
        <v>0.9606610921043112</v>
      </c>
      <c r="M4" s="59">
        <v>0.9614386615238191</v>
      </c>
      <c r="N4" s="59">
        <v>0.9642342868262308</v>
      </c>
      <c r="O4" s="59">
        <v>0.9677511191392445</v>
      </c>
      <c r="P4" s="59">
        <v>0.9668572863739109</v>
      </c>
      <c r="Q4" s="59">
        <v>0.9695685272031803</v>
      </c>
      <c r="R4" s="59">
        <v>0.9522579699792107</v>
      </c>
      <c r="S4" s="59">
        <v>0.9586791579097353</v>
      </c>
      <c r="T4" s="59">
        <v>0.9595908236956859</v>
      </c>
      <c r="U4" s="59">
        <v>0.9561218656951993</v>
      </c>
      <c r="V4" s="59">
        <v>0.9594879368134603</v>
      </c>
    </row>
    <row r="5" spans="1:22" ht="12.75">
      <c r="A5" t="s">
        <v>44</v>
      </c>
      <c r="B5" s="59">
        <v>0.03547474532825096</v>
      </c>
      <c r="C5" s="59">
        <v>0.03019002187491764</v>
      </c>
      <c r="D5" s="59">
        <v>0.026871945637177156</v>
      </c>
      <c r="E5" s="59">
        <v>0.025669474002723285</v>
      </c>
      <c r="F5" s="59">
        <v>0.024134000693790573</v>
      </c>
      <c r="G5" s="59">
        <v>0.02482102543672208</v>
      </c>
      <c r="H5" s="59">
        <v>0.021682075047880264</v>
      </c>
      <c r="I5" s="59">
        <v>0.020517529991630243</v>
      </c>
      <c r="J5" s="59">
        <v>0.020265595357660975</v>
      </c>
      <c r="K5" s="59">
        <v>0.014671393509680938</v>
      </c>
      <c r="L5" s="59">
        <v>0.03935957994397875</v>
      </c>
      <c r="M5" s="59">
        <v>0.038561338476180936</v>
      </c>
      <c r="N5" s="59">
        <v>0.03576571317376922</v>
      </c>
      <c r="O5" s="59">
        <v>0.032248880860755516</v>
      </c>
      <c r="P5" s="59">
        <v>0.03314271362608914</v>
      </c>
      <c r="Q5" s="59">
        <v>0.03043147279681964</v>
      </c>
      <c r="R5" s="59">
        <v>0.04774203002078926</v>
      </c>
      <c r="S5" s="59">
        <v>0.04132084209026467</v>
      </c>
      <c r="T5" s="59">
        <v>0.04041779417087506</v>
      </c>
      <c r="U5" s="59">
        <v>0.043886665927259386</v>
      </c>
      <c r="V5" s="59">
        <v>0.040512063186539674</v>
      </c>
    </row>
    <row r="6" spans="2:22" ht="12.7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1:22" ht="12.75">
      <c r="A7" s="59" t="s">
        <v>45</v>
      </c>
      <c r="B7" s="59">
        <v>0.952545389345623</v>
      </c>
      <c r="C7" s="59">
        <v>0.9599926205097119</v>
      </c>
      <c r="D7" s="59">
        <v>0.9651077327762949</v>
      </c>
      <c r="E7" s="59">
        <v>0.966450653083867</v>
      </c>
      <c r="F7" s="59">
        <v>0.9685068635710392</v>
      </c>
      <c r="G7" s="59">
        <v>0.969794647060954</v>
      </c>
      <c r="H7" s="59">
        <v>0.9721821578038919</v>
      </c>
      <c r="I7" s="59">
        <v>0.9725774202548126</v>
      </c>
      <c r="J7" s="59">
        <v>0.9734962615779489</v>
      </c>
      <c r="K7" s="59">
        <v>0.9756313062448868</v>
      </c>
      <c r="L7" s="14" t="s">
        <v>242</v>
      </c>
      <c r="M7" s="14" t="s">
        <v>242</v>
      </c>
      <c r="N7" s="59">
        <v>0.969459038723487</v>
      </c>
      <c r="O7" s="59">
        <v>0.9720313358988455</v>
      </c>
      <c r="P7" s="59">
        <v>0.982477154614478</v>
      </c>
      <c r="Q7" s="59">
        <v>0.9812693251130137</v>
      </c>
      <c r="R7" s="59">
        <v>0.9838081893196325</v>
      </c>
      <c r="S7" s="59">
        <v>0.980800056994265</v>
      </c>
      <c r="T7" s="59">
        <v>0.982324755683483</v>
      </c>
      <c r="U7" s="59">
        <v>0.9814266579075343</v>
      </c>
      <c r="V7" s="59">
        <v>0.9826021305545415</v>
      </c>
    </row>
    <row r="8" spans="1:22" ht="12.75">
      <c r="A8" s="59" t="s">
        <v>46</v>
      </c>
      <c r="B8" s="59">
        <v>0.0474546106543769</v>
      </c>
      <c r="C8" s="59">
        <v>0.04000737949028806</v>
      </c>
      <c r="D8" s="59">
        <v>0.03489226722370508</v>
      </c>
      <c r="E8" s="59">
        <v>0.033549346916132934</v>
      </c>
      <c r="F8" s="59">
        <v>0.0314931364289608</v>
      </c>
      <c r="G8" s="59">
        <v>0.0302174254222351</v>
      </c>
      <c r="H8" s="59">
        <v>0.027817842196108104</v>
      </c>
      <c r="I8" s="59">
        <v>0.02742257974518739</v>
      </c>
      <c r="J8" s="59">
        <v>0.02650373842205111</v>
      </c>
      <c r="K8" s="59">
        <v>0.02435778565584947</v>
      </c>
      <c r="L8" s="14" t="s">
        <v>242</v>
      </c>
      <c r="M8" s="14" t="s">
        <v>242</v>
      </c>
      <c r="N8" s="59">
        <v>0.03054096127651294</v>
      </c>
      <c r="O8" s="59">
        <v>0.02796866410115448</v>
      </c>
      <c r="P8" s="59">
        <v>0.01752284538552192</v>
      </c>
      <c r="Q8" s="59">
        <v>0.01873067488698627</v>
      </c>
      <c r="R8" s="59">
        <v>0.016182652416407945</v>
      </c>
      <c r="S8" s="59">
        <v>0.01919994300573505</v>
      </c>
      <c r="T8" s="59">
        <v>0.017675244316517003</v>
      </c>
      <c r="U8" s="59">
        <v>0.018573342092465726</v>
      </c>
      <c r="V8" s="59">
        <v>0.01739786944545847</v>
      </c>
    </row>
    <row r="10" spans="1:22" ht="12.75">
      <c r="A10" t="s">
        <v>370</v>
      </c>
      <c r="B10" s="59">
        <v>0.011023601131579297</v>
      </c>
      <c r="C10" s="59">
        <v>0.009527449068339352</v>
      </c>
      <c r="D10" s="59">
        <v>0.008961613348290846</v>
      </c>
      <c r="E10" s="59">
        <v>0.009027182409602099</v>
      </c>
      <c r="F10" s="59">
        <v>0.010134298032608157</v>
      </c>
      <c r="G10" s="59">
        <v>0.011589583861504472</v>
      </c>
      <c r="H10" s="59">
        <v>0.011242995294729625</v>
      </c>
      <c r="I10" s="59">
        <v>0.011589788896122012</v>
      </c>
      <c r="J10" s="59">
        <v>0.010623814306439014</v>
      </c>
      <c r="K10" s="59">
        <v>0.01064630488137442</v>
      </c>
      <c r="L10" s="59">
        <v>0.007772690157004207</v>
      </c>
      <c r="M10" s="59">
        <v>0.009096829133897711</v>
      </c>
      <c r="N10" s="59">
        <v>0.009330609067912046</v>
      </c>
      <c r="O10" s="59">
        <v>0.011269928532160528</v>
      </c>
      <c r="P10" s="59">
        <v>0.01238384111589807</v>
      </c>
      <c r="Q10" s="59">
        <v>0.013495860079133106</v>
      </c>
      <c r="R10" s="59">
        <v>0.005650648863001529</v>
      </c>
      <c r="S10" s="59">
        <v>0.007997007801090016</v>
      </c>
      <c r="T10" s="59">
        <v>0.006110067391716507</v>
      </c>
      <c r="U10" s="59">
        <v>0.007277473957222445</v>
      </c>
      <c r="V10" s="59">
        <v>0.006604055354594631</v>
      </c>
    </row>
    <row r="12" ht="12.75">
      <c r="A12" t="s">
        <v>367</v>
      </c>
    </row>
    <row r="14" spans="1:22" ht="12.75">
      <c r="A14" t="s">
        <v>260</v>
      </c>
      <c r="B14" s="59">
        <v>0.03971682438777722</v>
      </c>
      <c r="C14" s="59">
        <v>0.0337607323591289</v>
      </c>
      <c r="D14" s="59">
        <v>0.018445904898657977</v>
      </c>
      <c r="E14" s="59">
        <v>0.01529535864978903</v>
      </c>
      <c r="F14" s="59">
        <v>0.013353392267547129</v>
      </c>
      <c r="G14" s="59">
        <v>0.03179573804573804</v>
      </c>
      <c r="H14" s="59">
        <v>0.029063536616483795</v>
      </c>
      <c r="I14" s="59">
        <v>0.029492026137245574</v>
      </c>
      <c r="J14" s="59">
        <v>0.028657962690349204</v>
      </c>
      <c r="K14" s="59">
        <v>0.026852884638203955</v>
      </c>
      <c r="L14" s="59">
        <v>0.022719819055696918</v>
      </c>
      <c r="M14" s="59">
        <v>0.020629786110377607</v>
      </c>
      <c r="N14" s="59">
        <v>0.01736707833865269</v>
      </c>
      <c r="O14" s="59">
        <v>0.016006956745788916</v>
      </c>
      <c r="P14" s="59">
        <v>0.01692284954182678</v>
      </c>
      <c r="Q14" s="59">
        <v>0.018015620361745466</v>
      </c>
      <c r="R14" s="59">
        <v>0.007920632846502558</v>
      </c>
      <c r="S14" s="59">
        <v>0.006060134431874556</v>
      </c>
      <c r="T14" s="59">
        <v>0.0050347728705734</v>
      </c>
      <c r="U14" s="59">
        <v>0.006075093063245215</v>
      </c>
      <c r="V14" s="59">
        <v>0.006429627724554748</v>
      </c>
    </row>
    <row r="15" spans="1:22" ht="12.75">
      <c r="A15" t="s">
        <v>261</v>
      </c>
      <c r="B15" s="59">
        <v>0.05286108263424636</v>
      </c>
      <c r="C15" s="59">
        <v>0.04419302502548493</v>
      </c>
      <c r="D15" s="59">
        <v>0.03490459227349294</v>
      </c>
      <c r="E15" s="59">
        <v>0.031851010305931994</v>
      </c>
      <c r="F15" s="59">
        <v>0.028591213561849974</v>
      </c>
      <c r="G15" s="59">
        <v>0.03659154380723518</v>
      </c>
      <c r="H15" s="59">
        <v>0.034496390950595555</v>
      </c>
      <c r="I15" s="59">
        <v>0.03490641577419678</v>
      </c>
      <c r="J15" s="59">
        <v>0.03290513238043544</v>
      </c>
      <c r="K15" s="59">
        <v>0.030603530081609414</v>
      </c>
      <c r="L15" s="59">
        <v>0.028295165394402036</v>
      </c>
      <c r="M15" s="59">
        <v>0.0245246897280169</v>
      </c>
      <c r="N15" s="59">
        <v>0.018989571213560624</v>
      </c>
      <c r="O15" s="59">
        <v>0.017574371692056643</v>
      </c>
      <c r="P15" s="59">
        <v>0.018168573962248215</v>
      </c>
      <c r="Q15" s="59">
        <v>0.018588844645982823</v>
      </c>
      <c r="R15" s="59">
        <v>0.021329419924211203</v>
      </c>
      <c r="S15" s="59">
        <v>0.016312753518866182</v>
      </c>
      <c r="T15" s="59">
        <v>0.01230931385927104</v>
      </c>
      <c r="U15" s="59">
        <v>0.014039795166380075</v>
      </c>
      <c r="V15" s="59">
        <v>0.014172736541411395</v>
      </c>
    </row>
    <row r="16" spans="1:22" ht="12.75">
      <c r="A16" t="s">
        <v>262</v>
      </c>
      <c r="B16" s="59">
        <v>0.14514597847200922</v>
      </c>
      <c r="C16" s="59">
        <v>0.133801612857265</v>
      </c>
      <c r="D16" s="59">
        <v>0.11725857913142826</v>
      </c>
      <c r="E16" s="59">
        <v>0.11317150381377325</v>
      </c>
      <c r="F16" s="59">
        <v>0.10861332688743856</v>
      </c>
      <c r="G16" s="59">
        <v>0.11734347235287969</v>
      </c>
      <c r="H16" s="59">
        <v>0.12165468923061072</v>
      </c>
      <c r="I16" s="59">
        <v>0.13128220634740648</v>
      </c>
      <c r="J16" s="59">
        <v>0.10402464763106184</v>
      </c>
      <c r="K16" s="59">
        <v>0.15041250855640018</v>
      </c>
      <c r="L16" s="59">
        <v>0.15424208532103809</v>
      </c>
      <c r="M16" s="59">
        <v>0.14798315873668308</v>
      </c>
      <c r="N16" s="59">
        <v>0.14705691969101972</v>
      </c>
      <c r="O16" s="59">
        <v>0.1328060582389446</v>
      </c>
      <c r="P16" s="59">
        <v>0.13235074547277265</v>
      </c>
      <c r="Q16" s="59">
        <v>0.126303098333905</v>
      </c>
      <c r="R16" s="59">
        <v>0.10891474855180192</v>
      </c>
      <c r="S16" s="59">
        <v>0.11316339739121777</v>
      </c>
      <c r="T16" s="59">
        <v>0.10954240320067707</v>
      </c>
      <c r="U16" s="59">
        <v>0.09223732812469783</v>
      </c>
      <c r="V16" s="59">
        <v>0.09109589680842121</v>
      </c>
    </row>
    <row r="17" spans="2:22" ht="12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t="s">
        <v>259</v>
      </c>
      <c r="B18" s="59">
        <v>0.019563493229151366</v>
      </c>
      <c r="C18" s="59">
        <v>0.01867664277351001</v>
      </c>
      <c r="D18" s="59">
        <v>0.018012517172950694</v>
      </c>
      <c r="E18" s="59">
        <v>0.017128086524726208</v>
      </c>
      <c r="F18" s="59">
        <v>0.01767926291894779</v>
      </c>
      <c r="G18" s="59">
        <v>0.018850363767451007</v>
      </c>
      <c r="H18" s="59">
        <v>0.018014555145551454</v>
      </c>
      <c r="I18" s="59">
        <v>0.019707909625877342</v>
      </c>
      <c r="J18" s="59">
        <v>0.01887933432507287</v>
      </c>
      <c r="K18" s="59">
        <v>0.021841321483678816</v>
      </c>
      <c r="L18" s="59">
        <v>0.01677127509188578</v>
      </c>
      <c r="M18" s="59">
        <v>0.0134561218202623</v>
      </c>
      <c r="N18" s="59">
        <v>0.011538913143259716</v>
      </c>
      <c r="O18" s="59">
        <v>0.012227983724650284</v>
      </c>
      <c r="P18" s="59">
        <v>0.012119420632574637</v>
      </c>
      <c r="Q18" s="59">
        <v>0.010993622879837859</v>
      </c>
      <c r="R18" s="59">
        <v>0.011740227366389579</v>
      </c>
      <c r="S18" s="59">
        <v>0.011507446280750561</v>
      </c>
      <c r="T18" s="59">
        <v>0.010803587393305164</v>
      </c>
      <c r="U18" s="59">
        <v>0.009240188205060373</v>
      </c>
      <c r="V18" s="59">
        <v>0.009010663996840296</v>
      </c>
    </row>
    <row r="19" spans="1:22" ht="12.75">
      <c r="A19" t="s">
        <v>263</v>
      </c>
      <c r="B19" s="59">
        <v>0.06036400404448938</v>
      </c>
      <c r="C19" s="59">
        <v>0.056909304331838946</v>
      </c>
      <c r="D19" s="59">
        <v>0.05313976296378153</v>
      </c>
      <c r="E19" s="59">
        <v>0.05340390681052104</v>
      </c>
      <c r="F19" s="59">
        <v>0.05179781413490595</v>
      </c>
      <c r="G19" s="59">
        <v>0.059589325580187945</v>
      </c>
      <c r="H19" s="59">
        <v>0.05954838545250656</v>
      </c>
      <c r="I19" s="59">
        <v>0.05574934673618144</v>
      </c>
      <c r="J19" s="59">
        <v>0.05594683425434319</v>
      </c>
      <c r="K19" s="59">
        <v>0.061680162901927356</v>
      </c>
      <c r="L19" s="59">
        <v>0.0630138535482047</v>
      </c>
      <c r="M19" s="59">
        <v>0.057092245400933016</v>
      </c>
      <c r="N19" s="59">
        <v>0.052656298367900256</v>
      </c>
      <c r="O19" s="59">
        <v>0.05051155700129902</v>
      </c>
      <c r="P19" s="59">
        <v>0.047949833199611505</v>
      </c>
      <c r="Q19" s="59">
        <v>0.04633904169183053</v>
      </c>
      <c r="R19" s="59">
        <v>0.057776392895554196</v>
      </c>
      <c r="S19" s="59">
        <v>0.05520266918280595</v>
      </c>
      <c r="T19" s="59">
        <v>0.05361327297879749</v>
      </c>
      <c r="U19" s="59">
        <v>0.04943217248351316</v>
      </c>
      <c r="V19" s="59">
        <v>0.04813954129198777</v>
      </c>
    </row>
    <row r="20" spans="2:22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t="s">
        <v>368</v>
      </c>
      <c r="B21" s="59">
        <v>0.07893867995317706</v>
      </c>
      <c r="C21" s="59">
        <v>0.06983120807842559</v>
      </c>
      <c r="D21" s="59">
        <v>0.06451659244361442</v>
      </c>
      <c r="E21" s="59">
        <v>0.06155036578503095</v>
      </c>
      <c r="F21" s="59">
        <v>0.06250864908250532</v>
      </c>
      <c r="G21" s="59">
        <v>0.06393411276223776</v>
      </c>
      <c r="H21" s="59">
        <v>0.07419916618291203</v>
      </c>
      <c r="I21" s="59">
        <v>0.06725127177632349</v>
      </c>
      <c r="J21" s="59">
        <v>0.06264539502955571</v>
      </c>
      <c r="K21" s="59">
        <v>0.07714018092632305</v>
      </c>
      <c r="L21" s="59">
        <v>0.08779520869909951</v>
      </c>
      <c r="M21" s="59">
        <v>0.07541880945549252</v>
      </c>
      <c r="N21" s="59">
        <v>0.07269847046357049</v>
      </c>
      <c r="O21" s="59">
        <v>0.06760742271592181</v>
      </c>
      <c r="P21" s="59">
        <v>0.0757252198917456</v>
      </c>
      <c r="Q21" s="59">
        <v>0.07465477560414269</v>
      </c>
      <c r="R21" s="59">
        <v>0.06805421595004822</v>
      </c>
      <c r="S21" s="59">
        <v>0.06082180434075199</v>
      </c>
      <c r="T21" s="59">
        <v>0.061291214290480324</v>
      </c>
      <c r="U21" s="59">
        <v>0.0506614263803681</v>
      </c>
      <c r="V21" s="59">
        <v>0.054049542322423885</v>
      </c>
    </row>
    <row r="22" spans="1:22" ht="12.75">
      <c r="A22" t="s">
        <v>369</v>
      </c>
      <c r="B22" s="59">
        <v>0.29560981781376516</v>
      </c>
      <c r="C22" s="59">
        <v>0.27459780650463034</v>
      </c>
      <c r="D22" s="59">
        <v>0.26397757358666873</v>
      </c>
      <c r="E22" s="59">
        <v>0.2327286167493147</v>
      </c>
      <c r="F22" s="59">
        <v>0.2499156519338711</v>
      </c>
      <c r="G22" s="59">
        <v>0.2550835696614976</v>
      </c>
      <c r="H22" s="14" t="s">
        <v>242</v>
      </c>
      <c r="I22" s="14" t="s">
        <v>242</v>
      </c>
      <c r="J22" s="14" t="s">
        <v>242</v>
      </c>
      <c r="K22" s="59">
        <v>0.27381698080974887</v>
      </c>
      <c r="L22" s="59">
        <v>0.21468183434056168</v>
      </c>
      <c r="M22" s="59">
        <v>0.19433536055603823</v>
      </c>
      <c r="N22" s="59">
        <v>0.1823206281805008</v>
      </c>
      <c r="O22" s="59">
        <v>0.1663008436792647</v>
      </c>
      <c r="P22" s="59">
        <v>0.2081402377594197</v>
      </c>
      <c r="Q22" s="59">
        <v>0.16333002973240832</v>
      </c>
      <c r="R22" s="59">
        <v>0.1444234404536862</v>
      </c>
      <c r="S22" s="59">
        <v>0.12893710465078168</v>
      </c>
      <c r="T22" s="59">
        <v>0.12164078006364008</v>
      </c>
      <c r="U22" s="59">
        <v>0.11352036772864162</v>
      </c>
      <c r="V22" s="59">
        <v>0.10852333588370314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D1">
      <selection activeCell="C1" sqref="A1:IV1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spans="1:22" ht="12.75">
      <c r="A3" s="59" t="s">
        <v>365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59" t="s">
        <v>130</v>
      </c>
      <c r="B4" s="9">
        <v>37455</v>
      </c>
      <c r="C4" s="9">
        <v>38406</v>
      </c>
      <c r="D4" s="9">
        <v>40277</v>
      </c>
      <c r="E4" s="9">
        <v>41869</v>
      </c>
      <c r="F4" s="9">
        <v>43417</v>
      </c>
      <c r="G4" s="9">
        <v>45713</v>
      </c>
      <c r="H4" s="9">
        <v>47518</v>
      </c>
      <c r="I4" s="9">
        <v>48326</v>
      </c>
      <c r="J4" s="9">
        <v>50831</v>
      </c>
      <c r="K4" s="9">
        <v>52107</v>
      </c>
      <c r="L4" s="9">
        <v>57440</v>
      </c>
      <c r="M4" s="9">
        <v>59764</v>
      </c>
      <c r="N4" s="9">
        <v>61983</v>
      </c>
      <c r="O4" s="9">
        <v>62846</v>
      </c>
      <c r="P4" s="9">
        <v>64611</v>
      </c>
      <c r="Q4" s="9">
        <v>67043</v>
      </c>
      <c r="R4" s="9">
        <v>67968</v>
      </c>
      <c r="S4" s="9">
        <v>70972</v>
      </c>
      <c r="T4" s="9">
        <v>74006</v>
      </c>
      <c r="U4" s="9">
        <v>74537</v>
      </c>
      <c r="V4" s="9">
        <v>77574</v>
      </c>
    </row>
    <row r="5" spans="1:22" ht="12.75">
      <c r="A5" t="s">
        <v>131</v>
      </c>
      <c r="B5" s="9">
        <v>28029</v>
      </c>
      <c r="C5" s="9">
        <v>28636</v>
      </c>
      <c r="D5" s="9">
        <v>28645</v>
      </c>
      <c r="E5" s="9">
        <v>28718</v>
      </c>
      <c r="F5" s="9">
        <v>28586</v>
      </c>
      <c r="G5" s="9">
        <v>28209</v>
      </c>
      <c r="H5" s="9">
        <v>27906</v>
      </c>
      <c r="I5" s="9">
        <v>28410</v>
      </c>
      <c r="J5" s="9">
        <v>29046</v>
      </c>
      <c r="K5" s="9">
        <v>29605</v>
      </c>
      <c r="L5" s="9">
        <v>28489</v>
      </c>
      <c r="M5" s="9">
        <v>28690</v>
      </c>
      <c r="N5" s="9">
        <v>29024</v>
      </c>
      <c r="O5" s="9">
        <v>27773</v>
      </c>
      <c r="P5" s="9">
        <v>27727</v>
      </c>
      <c r="Q5" s="9">
        <v>28097</v>
      </c>
      <c r="R5" s="9">
        <v>28713</v>
      </c>
      <c r="S5" s="9">
        <v>29259</v>
      </c>
      <c r="T5" s="9">
        <v>29595</v>
      </c>
      <c r="U5" s="9">
        <v>28743</v>
      </c>
      <c r="V5" s="9">
        <v>28673</v>
      </c>
    </row>
    <row r="6" spans="1:22" ht="12.75">
      <c r="A6" t="s">
        <v>132</v>
      </c>
      <c r="B6" s="9">
        <v>2984</v>
      </c>
      <c r="C6" s="9">
        <v>2978</v>
      </c>
      <c r="D6" s="9">
        <v>2890</v>
      </c>
      <c r="E6" s="9">
        <v>2706</v>
      </c>
      <c r="F6" s="9">
        <v>2604</v>
      </c>
      <c r="G6" s="9">
        <v>2418</v>
      </c>
      <c r="H6" s="9">
        <v>2358</v>
      </c>
      <c r="I6" s="9">
        <v>2549</v>
      </c>
      <c r="J6" s="9">
        <v>2401</v>
      </c>
      <c r="K6" s="9">
        <v>2228</v>
      </c>
      <c r="L6" s="9">
        <v>1965</v>
      </c>
      <c r="M6" s="9">
        <v>1984</v>
      </c>
      <c r="N6" s="9">
        <v>2081</v>
      </c>
      <c r="O6" s="9">
        <v>2010</v>
      </c>
      <c r="P6" s="9">
        <v>1940</v>
      </c>
      <c r="Q6" s="9">
        <v>2059</v>
      </c>
      <c r="R6" s="9">
        <v>2151</v>
      </c>
      <c r="S6" s="9">
        <v>2127</v>
      </c>
      <c r="T6" s="9">
        <v>2151</v>
      </c>
      <c r="U6" s="9">
        <v>2097</v>
      </c>
      <c r="V6" s="9">
        <v>2166</v>
      </c>
    </row>
    <row r="7" spans="1:22" ht="12.75">
      <c r="A7" t="s">
        <v>133</v>
      </c>
      <c r="B7" s="9">
        <v>869</v>
      </c>
      <c r="C7" s="9">
        <v>810</v>
      </c>
      <c r="D7" s="9">
        <v>710</v>
      </c>
      <c r="E7" s="9">
        <v>712</v>
      </c>
      <c r="F7" s="9">
        <v>674</v>
      </c>
      <c r="G7" s="9">
        <v>826</v>
      </c>
      <c r="H7" s="9">
        <v>789</v>
      </c>
      <c r="I7" s="9">
        <v>787</v>
      </c>
      <c r="J7" s="9">
        <v>899</v>
      </c>
      <c r="K7" s="9">
        <v>700</v>
      </c>
      <c r="L7" s="9">
        <v>531</v>
      </c>
      <c r="M7" s="9">
        <v>450</v>
      </c>
      <c r="N7" s="9">
        <v>595</v>
      </c>
      <c r="O7" s="9">
        <v>518</v>
      </c>
      <c r="P7" s="9">
        <v>446</v>
      </c>
      <c r="Q7" s="9">
        <v>495</v>
      </c>
      <c r="R7" s="9">
        <v>655</v>
      </c>
      <c r="S7" s="9">
        <v>444</v>
      </c>
      <c r="T7" s="9">
        <v>509</v>
      </c>
      <c r="U7" s="9">
        <v>465</v>
      </c>
      <c r="V7" s="9">
        <v>457</v>
      </c>
    </row>
    <row r="9" spans="1:22" ht="12.75">
      <c r="A9" s="59" t="s">
        <v>233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59" t="s">
        <v>47</v>
      </c>
      <c r="B10" s="9">
        <v>61448</v>
      </c>
      <c r="C10" s="9">
        <v>62832</v>
      </c>
      <c r="D10" s="9">
        <v>64485</v>
      </c>
      <c r="E10" s="9">
        <v>65982</v>
      </c>
      <c r="F10" s="9">
        <v>67357</v>
      </c>
      <c r="G10" s="9">
        <v>69471</v>
      </c>
      <c r="H10" s="9">
        <v>70956</v>
      </c>
      <c r="I10" s="9">
        <v>72121</v>
      </c>
      <c r="J10" s="9">
        <v>75317</v>
      </c>
      <c r="K10" s="9">
        <v>77358</v>
      </c>
      <c r="L10" s="9">
        <v>82510</v>
      </c>
      <c r="M10" s="9">
        <v>85575</v>
      </c>
      <c r="N10" s="9">
        <v>88395</v>
      </c>
      <c r="O10" s="9">
        <v>87254</v>
      </c>
      <c r="P10" s="9">
        <v>88668</v>
      </c>
      <c r="Q10" s="9">
        <v>92341</v>
      </c>
      <c r="R10" s="9">
        <v>96629</v>
      </c>
      <c r="S10" s="9">
        <v>98196</v>
      </c>
      <c r="T10" s="9">
        <v>101087</v>
      </c>
      <c r="U10" s="9">
        <v>102331</v>
      </c>
      <c r="V10" s="9">
        <v>105572</v>
      </c>
    </row>
    <row r="11" spans="1:22" ht="12.75">
      <c r="A11" s="59" t="s">
        <v>48</v>
      </c>
      <c r="B11" s="9">
        <v>12243</v>
      </c>
      <c r="C11" s="9">
        <v>11608</v>
      </c>
      <c r="D11" s="9">
        <v>11607</v>
      </c>
      <c r="E11" s="9">
        <v>11875</v>
      </c>
      <c r="F11" s="9">
        <v>11943</v>
      </c>
      <c r="G11" s="9">
        <v>11985</v>
      </c>
      <c r="H11" s="9">
        <v>12274</v>
      </c>
      <c r="I11" s="9">
        <v>12566</v>
      </c>
      <c r="J11" s="9">
        <v>12961</v>
      </c>
      <c r="K11" s="9">
        <v>13043</v>
      </c>
      <c r="L11" s="9">
        <v>13228</v>
      </c>
      <c r="M11" s="9">
        <v>13292</v>
      </c>
      <c r="N11" s="9">
        <v>13411</v>
      </c>
      <c r="O11" s="9">
        <v>12911</v>
      </c>
      <c r="P11" s="9">
        <v>12944</v>
      </c>
      <c r="Q11" s="9">
        <v>13311</v>
      </c>
      <c r="R11" s="9">
        <v>11974</v>
      </c>
      <c r="S11" s="9">
        <v>13476</v>
      </c>
      <c r="T11" s="9">
        <v>14365</v>
      </c>
      <c r="U11" s="9">
        <v>14313</v>
      </c>
      <c r="V11" s="9">
        <v>14359</v>
      </c>
    </row>
    <row r="12" spans="1:22" ht="12.75">
      <c r="A12" t="s">
        <v>49</v>
      </c>
      <c r="B12" s="9">
        <v>1602</v>
      </c>
      <c r="C12" s="9">
        <v>1447</v>
      </c>
      <c r="D12" s="9">
        <v>1461</v>
      </c>
      <c r="E12" s="9">
        <v>1458</v>
      </c>
      <c r="F12" s="9">
        <v>1416</v>
      </c>
      <c r="G12" s="9">
        <v>1378</v>
      </c>
      <c r="H12" s="9">
        <v>1356</v>
      </c>
      <c r="I12" s="9">
        <v>1338</v>
      </c>
      <c r="J12" s="9">
        <v>1332</v>
      </c>
      <c r="K12" s="9">
        <v>1274</v>
      </c>
      <c r="L12" s="9">
        <v>1010</v>
      </c>
      <c r="M12" s="9">
        <v>948</v>
      </c>
      <c r="N12" s="9">
        <v>974</v>
      </c>
      <c r="O12" s="9">
        <v>1699</v>
      </c>
      <c r="P12" s="9">
        <v>1910</v>
      </c>
      <c r="Q12" s="9">
        <v>752</v>
      </c>
      <c r="R12" s="9">
        <v>588</v>
      </c>
      <c r="S12" s="9">
        <v>620</v>
      </c>
      <c r="T12" s="9">
        <v>586</v>
      </c>
      <c r="U12" s="9">
        <v>567</v>
      </c>
      <c r="V12" s="9">
        <v>601</v>
      </c>
    </row>
    <row r="13" spans="2:22" ht="12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t="s">
        <v>234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59" t="s">
        <v>50</v>
      </c>
      <c r="B15" s="9">
        <v>53673</v>
      </c>
      <c r="C15" s="9">
        <v>54894</v>
      </c>
      <c r="D15" s="9">
        <v>56484</v>
      </c>
      <c r="E15" s="9">
        <v>57819</v>
      </c>
      <c r="F15" s="9">
        <v>59026</v>
      </c>
      <c r="G15" s="9">
        <v>60805</v>
      </c>
      <c r="H15" s="9">
        <v>62063</v>
      </c>
      <c r="I15" s="9">
        <v>63113</v>
      </c>
      <c r="J15" s="9">
        <v>65992</v>
      </c>
      <c r="K15" s="9">
        <v>68102</v>
      </c>
      <c r="L15" s="9">
        <v>73230</v>
      </c>
      <c r="M15" s="9">
        <v>76155</v>
      </c>
      <c r="N15" s="9">
        <v>78801</v>
      </c>
      <c r="O15" s="9">
        <v>77940</v>
      </c>
      <c r="P15" s="9">
        <v>79604</v>
      </c>
      <c r="Q15" s="9">
        <v>82086</v>
      </c>
      <c r="R15" s="9">
        <v>84504</v>
      </c>
      <c r="S15" s="9">
        <v>87329</v>
      </c>
      <c r="T15" s="9">
        <v>91449</v>
      </c>
      <c r="U15" s="9">
        <v>92897</v>
      </c>
      <c r="V15" s="9">
        <v>96037</v>
      </c>
    </row>
    <row r="16" spans="1:22" ht="12.75">
      <c r="A16" s="59" t="s">
        <v>51</v>
      </c>
      <c r="B16" s="9">
        <v>19688</v>
      </c>
      <c r="C16" s="9">
        <v>19434</v>
      </c>
      <c r="D16" s="9">
        <v>19694</v>
      </c>
      <c r="E16" s="9">
        <v>20177</v>
      </c>
      <c r="F16" s="9">
        <v>20489</v>
      </c>
      <c r="G16" s="9">
        <v>20929</v>
      </c>
      <c r="H16" s="9">
        <v>21510</v>
      </c>
      <c r="I16" s="9">
        <v>21914</v>
      </c>
      <c r="J16" s="9">
        <v>22653</v>
      </c>
      <c r="K16" s="9">
        <v>22861</v>
      </c>
      <c r="L16" s="9">
        <v>22985</v>
      </c>
      <c r="M16" s="9">
        <v>23232</v>
      </c>
      <c r="N16" s="9">
        <v>23632</v>
      </c>
      <c r="O16" s="9">
        <v>23651</v>
      </c>
      <c r="P16" s="9">
        <v>23671</v>
      </c>
      <c r="Q16" s="9">
        <v>24115</v>
      </c>
      <c r="R16" s="9">
        <v>24499</v>
      </c>
      <c r="S16" s="9">
        <v>24758</v>
      </c>
      <c r="T16" s="9">
        <v>24406</v>
      </c>
      <c r="U16" s="9">
        <v>24089</v>
      </c>
      <c r="V16" s="9">
        <v>24290</v>
      </c>
    </row>
    <row r="17" spans="1:22" ht="12.75">
      <c r="A17" s="59" t="s">
        <v>52</v>
      </c>
      <c r="B17" s="9">
        <v>1932</v>
      </c>
      <c r="C17" s="9">
        <v>1557</v>
      </c>
      <c r="D17" s="9">
        <v>1375</v>
      </c>
      <c r="E17" s="9">
        <v>1320</v>
      </c>
      <c r="F17" s="9">
        <v>1201</v>
      </c>
      <c r="G17" s="9">
        <v>1099</v>
      </c>
      <c r="H17" s="9">
        <v>1013</v>
      </c>
      <c r="I17" s="9">
        <v>998</v>
      </c>
      <c r="J17" s="9">
        <v>965</v>
      </c>
      <c r="K17" s="9">
        <v>712</v>
      </c>
      <c r="L17" s="9">
        <v>534</v>
      </c>
      <c r="M17" s="9">
        <v>427</v>
      </c>
      <c r="N17" s="9">
        <v>346</v>
      </c>
      <c r="O17" s="9">
        <v>273</v>
      </c>
      <c r="P17" s="9">
        <v>247</v>
      </c>
      <c r="Q17" s="9">
        <v>203</v>
      </c>
      <c r="R17" s="9">
        <v>188</v>
      </c>
      <c r="S17" s="9">
        <v>204</v>
      </c>
      <c r="T17" s="9">
        <v>183</v>
      </c>
      <c r="U17" s="9">
        <v>225</v>
      </c>
      <c r="V17" s="9">
        <v>204</v>
      </c>
    </row>
    <row r="19" spans="1:22" ht="12.75">
      <c r="A19" t="s">
        <v>243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t="s">
        <v>33</v>
      </c>
      <c r="B20" s="9">
        <v>40035</v>
      </c>
      <c r="C20" s="9">
        <v>38459</v>
      </c>
      <c r="D20" s="9">
        <v>39236</v>
      </c>
      <c r="E20" s="9">
        <v>38825</v>
      </c>
      <c r="F20" s="9">
        <v>39052</v>
      </c>
      <c r="G20" s="14" t="s">
        <v>242</v>
      </c>
      <c r="H20" s="14" t="s">
        <v>242</v>
      </c>
      <c r="I20" s="14" t="s">
        <v>242</v>
      </c>
      <c r="J20" s="14" t="s">
        <v>242</v>
      </c>
      <c r="K20" s="14" t="s">
        <v>242</v>
      </c>
      <c r="L20" s="9">
        <v>37364</v>
      </c>
      <c r="M20" s="9">
        <v>71964</v>
      </c>
      <c r="N20" s="9">
        <v>33354</v>
      </c>
      <c r="O20" s="9">
        <v>31031</v>
      </c>
      <c r="P20" s="9">
        <v>30474</v>
      </c>
      <c r="Q20" s="9">
        <v>27787</v>
      </c>
      <c r="R20" s="9">
        <v>24844</v>
      </c>
      <c r="S20" s="9">
        <v>21066</v>
      </c>
      <c r="T20" s="9">
        <v>19137</v>
      </c>
      <c r="U20" s="9">
        <v>17041</v>
      </c>
      <c r="V20" s="9">
        <v>15139</v>
      </c>
    </row>
    <row r="21" spans="1:22" ht="12.75">
      <c r="A21" t="s">
        <v>244</v>
      </c>
      <c r="B21" s="9">
        <v>22630</v>
      </c>
      <c r="C21" s="9">
        <v>23065</v>
      </c>
      <c r="D21" s="9">
        <v>22781</v>
      </c>
      <c r="E21" s="9">
        <v>23466</v>
      </c>
      <c r="F21" s="9">
        <v>23589</v>
      </c>
      <c r="G21" s="89" t="s">
        <v>242</v>
      </c>
      <c r="H21" s="89" t="s">
        <v>242</v>
      </c>
      <c r="I21" s="89" t="s">
        <v>242</v>
      </c>
      <c r="J21" s="89" t="s">
        <v>242</v>
      </c>
      <c r="K21" s="89" t="s">
        <v>242</v>
      </c>
      <c r="L21" s="9">
        <v>27266</v>
      </c>
      <c r="M21" s="9">
        <v>27851</v>
      </c>
      <c r="N21" s="9">
        <v>28618</v>
      </c>
      <c r="O21" s="9">
        <v>28223</v>
      </c>
      <c r="P21" s="9">
        <v>27533</v>
      </c>
      <c r="Q21" s="9">
        <v>28612</v>
      </c>
      <c r="R21" s="9">
        <v>28154</v>
      </c>
      <c r="S21" s="9">
        <v>28766</v>
      </c>
      <c r="T21" s="9">
        <v>28673</v>
      </c>
      <c r="U21" s="9">
        <v>28973</v>
      </c>
      <c r="V21" s="9">
        <v>26544</v>
      </c>
    </row>
    <row r="22" spans="1:22" ht="12.75">
      <c r="A22" t="s">
        <v>245</v>
      </c>
      <c r="B22" s="9">
        <v>12628</v>
      </c>
      <c r="C22" s="9">
        <v>14362</v>
      </c>
      <c r="D22" s="9">
        <v>15536</v>
      </c>
      <c r="E22" s="9">
        <v>17024</v>
      </c>
      <c r="F22" s="9">
        <v>18075</v>
      </c>
      <c r="G22" s="89" t="s">
        <v>242</v>
      </c>
      <c r="H22" s="89" t="s">
        <v>242</v>
      </c>
      <c r="I22" s="89" t="s">
        <v>242</v>
      </c>
      <c r="J22" s="89" t="s">
        <v>242</v>
      </c>
      <c r="K22" s="89" t="s">
        <v>242</v>
      </c>
      <c r="L22" s="9">
        <v>32119</v>
      </c>
      <c r="M22" s="9">
        <v>36223</v>
      </c>
      <c r="N22" s="9">
        <v>40808</v>
      </c>
      <c r="O22" s="9">
        <v>42610</v>
      </c>
      <c r="P22" s="9">
        <v>45515</v>
      </c>
      <c r="Q22" s="9">
        <v>50004</v>
      </c>
      <c r="R22" s="9">
        <v>56193</v>
      </c>
      <c r="S22" s="9">
        <v>62460</v>
      </c>
      <c r="T22" s="9">
        <v>68228</v>
      </c>
      <c r="U22" s="9">
        <v>71197</v>
      </c>
      <c r="V22" s="9">
        <v>78849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B8" sqref="B8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s="102" t="s">
        <v>134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102" t="s">
        <v>59</v>
      </c>
      <c r="B3" s="59">
        <v>0.8077361293393138</v>
      </c>
      <c r="C3" s="59">
        <v>0.80570379782578</v>
      </c>
      <c r="D3" s="59">
        <v>0.8017180756449678</v>
      </c>
      <c r="E3" s="59">
        <v>0.7995000337815013</v>
      </c>
      <c r="F3" s="59">
        <v>0.800278958554729</v>
      </c>
      <c r="G3" s="59">
        <v>0.795547319450024</v>
      </c>
      <c r="H3" s="59">
        <v>0.7936796823295831</v>
      </c>
      <c r="I3" s="59">
        <v>0.7967204515935657</v>
      </c>
      <c r="J3" s="59">
        <v>0.7967899008115419</v>
      </c>
      <c r="K3" s="59">
        <v>0.7899879486755358</v>
      </c>
      <c r="L3" s="59">
        <v>0.7863047780605033</v>
      </c>
      <c r="M3" s="59">
        <v>0.7827656016195758</v>
      </c>
      <c r="N3" s="59">
        <v>0.7854359915886554</v>
      </c>
      <c r="O3" s="59">
        <v>0.781560329371853</v>
      </c>
      <c r="P3" s="59">
        <v>0.7842363075883619</v>
      </c>
      <c r="Q3" s="59">
        <v>0.7866684409323084</v>
      </c>
      <c r="R3" s="59">
        <v>0.7898720435835838</v>
      </c>
      <c r="S3" s="59">
        <v>0.7916208670953182</v>
      </c>
      <c r="T3" s="59">
        <v>0.7947224287367896</v>
      </c>
      <c r="U3" s="59">
        <v>0.795667126471533</v>
      </c>
      <c r="V3" s="59">
        <v>0.7961256900368325</v>
      </c>
    </row>
    <row r="4" spans="1:22" ht="12.75">
      <c r="A4" s="92" t="s">
        <v>144</v>
      </c>
      <c r="B4" s="59">
        <v>0.19227829297489074</v>
      </c>
      <c r="C4" s="59">
        <v>0.1943103204856699</v>
      </c>
      <c r="D4" s="59">
        <v>0.19830950181321788</v>
      </c>
      <c r="E4" s="59">
        <v>0.20052699141949867</v>
      </c>
      <c r="F4" s="59">
        <v>0.19972104144527097</v>
      </c>
      <c r="G4" s="59">
        <v>0.20442676273536614</v>
      </c>
      <c r="H4" s="59">
        <v>0.20635849921091484</v>
      </c>
      <c r="I4" s="59">
        <v>0.2032795484064342</v>
      </c>
      <c r="J4" s="59">
        <v>0.20322212203186055</v>
      </c>
      <c r="K4" s="59">
        <v>0.21001205132446418</v>
      </c>
      <c r="L4" s="59">
        <v>0.21369522193949675</v>
      </c>
      <c r="M4" s="59">
        <v>0.21723439838042427</v>
      </c>
      <c r="N4" s="59">
        <v>0.214553334116115</v>
      </c>
      <c r="O4" s="59">
        <v>0.21845040634695695</v>
      </c>
      <c r="P4" s="59">
        <v>0.21575313542502428</v>
      </c>
      <c r="Q4" s="59">
        <v>0.21333155906769163</v>
      </c>
      <c r="R4" s="59">
        <v>0.21014805954546825</v>
      </c>
      <c r="S4" s="59">
        <v>0.20838886024726905</v>
      </c>
      <c r="T4" s="59">
        <v>0.2052681604727981</v>
      </c>
      <c r="U4" s="59">
        <v>0.20433287352846696</v>
      </c>
      <c r="V4" s="59">
        <v>0.20388349514563106</v>
      </c>
    </row>
    <row r="5" spans="1:22" ht="12.75">
      <c r="A5" s="92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12.75">
      <c r="A6" s="102" t="s">
        <v>60</v>
      </c>
      <c r="B6" s="14" t="s">
        <v>242</v>
      </c>
      <c r="C6" s="14" t="s">
        <v>242</v>
      </c>
      <c r="D6" s="14" t="s">
        <v>242</v>
      </c>
      <c r="E6" s="14" t="s">
        <v>242</v>
      </c>
      <c r="F6" s="14" t="s">
        <v>242</v>
      </c>
      <c r="G6" s="14" t="s">
        <v>242</v>
      </c>
      <c r="H6" s="14" t="s">
        <v>242</v>
      </c>
      <c r="I6" s="14" t="s">
        <v>242</v>
      </c>
      <c r="J6" s="14" t="s">
        <v>242</v>
      </c>
      <c r="K6" s="14" t="s">
        <v>242</v>
      </c>
      <c r="L6" s="59">
        <v>0.12761096974837433</v>
      </c>
      <c r="M6" s="59">
        <v>0.12861983980283426</v>
      </c>
      <c r="N6" s="59">
        <v>0.12575387210059455</v>
      </c>
      <c r="O6" s="59">
        <v>0.12430888810160284</v>
      </c>
      <c r="P6" s="59">
        <v>0.1209408386470166</v>
      </c>
      <c r="Q6" s="59">
        <v>0.11717318538687521</v>
      </c>
      <c r="R6" s="59">
        <v>0.11053705509262517</v>
      </c>
      <c r="S6" s="59">
        <v>0.10739958950614281</v>
      </c>
      <c r="T6" s="59">
        <v>0.10121305088414376</v>
      </c>
      <c r="U6" s="59">
        <v>0.10186882334045086</v>
      </c>
      <c r="V6" s="59">
        <v>0.10179019206216532</v>
      </c>
    </row>
    <row r="7" spans="1:22" ht="12.75">
      <c r="A7" s="92" t="s">
        <v>61</v>
      </c>
      <c r="B7" s="14" t="s">
        <v>242</v>
      </c>
      <c r="C7" s="14" t="s">
        <v>242</v>
      </c>
      <c r="D7" s="14" t="s">
        <v>242</v>
      </c>
      <c r="E7" s="14" t="s">
        <v>242</v>
      </c>
      <c r="F7" s="14" t="s">
        <v>242</v>
      </c>
      <c r="G7" s="14" t="s">
        <v>242</v>
      </c>
      <c r="H7" s="14" t="s">
        <v>242</v>
      </c>
      <c r="I7" s="14" t="s">
        <v>242</v>
      </c>
      <c r="J7" s="14" t="s">
        <v>242</v>
      </c>
      <c r="K7" s="14" t="s">
        <v>242</v>
      </c>
      <c r="L7" s="59">
        <v>0.08608425219112242</v>
      </c>
      <c r="M7" s="59">
        <v>0.08861455857759</v>
      </c>
      <c r="N7" s="59">
        <v>0.08879946201552043</v>
      </c>
      <c r="O7" s="59">
        <v>0.09414151824535412</v>
      </c>
      <c r="P7" s="59">
        <v>0.09481229677800769</v>
      </c>
      <c r="Q7" s="59">
        <v>0.09615837368081644</v>
      </c>
      <c r="R7" s="59">
        <v>0.09961100445284309</v>
      </c>
      <c r="S7" s="59">
        <v>0.10098927074112624</v>
      </c>
      <c r="T7" s="59">
        <v>0.10405510958865435</v>
      </c>
      <c r="U7" s="59">
        <v>0.1024640501880161</v>
      </c>
      <c r="V7" s="59">
        <v>0.10209330308346576</v>
      </c>
    </row>
    <row r="8" spans="1:22" ht="12.75">
      <c r="A8" s="9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s="102" t="s">
        <v>389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102" t="s">
        <v>65</v>
      </c>
      <c r="B10" s="59">
        <v>0.8864386979534736</v>
      </c>
      <c r="C10" s="59">
        <v>0.8832698009318085</v>
      </c>
      <c r="D10" s="59">
        <v>0.8805482398687313</v>
      </c>
      <c r="E10" s="59">
        <v>0.8798594689548004</v>
      </c>
      <c r="F10" s="59">
        <v>0.8782013815090329</v>
      </c>
      <c r="G10" s="59">
        <v>0.8768515038811927</v>
      </c>
      <c r="H10" s="59">
        <v>0.8754518148958916</v>
      </c>
      <c r="I10" s="59">
        <v>0.8732390848236588</v>
      </c>
      <c r="J10" s="59">
        <v>0.8703456567478208</v>
      </c>
      <c r="K10" s="59">
        <v>0.8573217703631938</v>
      </c>
      <c r="L10" s="59">
        <v>0.8624936386768448</v>
      </c>
      <c r="M10" s="59">
        <v>0.8601685591057125</v>
      </c>
      <c r="N10" s="59">
        <v>0.8572739984842501</v>
      </c>
      <c r="O10" s="59">
        <v>0.8496247866275887</v>
      </c>
      <c r="P10" s="59">
        <v>0.8448650817110764</v>
      </c>
      <c r="Q10" s="59">
        <v>0.8353822689445508</v>
      </c>
      <c r="R10" s="59">
        <v>0.8257762320705218</v>
      </c>
      <c r="S10" s="59">
        <v>0.813439296518584</v>
      </c>
      <c r="T10" s="59">
        <v>0.8026651358447596</v>
      </c>
      <c r="U10" s="59">
        <v>0.8265433381833299</v>
      </c>
      <c r="V10" s="59">
        <v>0.8216053861909967</v>
      </c>
    </row>
    <row r="11" spans="1:22" ht="12.75">
      <c r="A11" s="102" t="s">
        <v>68</v>
      </c>
      <c r="B11" s="59">
        <v>0.10040815149198841</v>
      </c>
      <c r="C11" s="59">
        <v>0.10271071579839051</v>
      </c>
      <c r="D11" s="59">
        <v>0.10425658067095955</v>
      </c>
      <c r="E11" s="59">
        <v>0.10419566245523951</v>
      </c>
      <c r="F11" s="59">
        <v>0.10568544102019128</v>
      </c>
      <c r="G11" s="59">
        <v>0.10600386175437687</v>
      </c>
      <c r="H11" s="59">
        <v>0.10632286310645013</v>
      </c>
      <c r="I11" s="59">
        <v>0.10744080327705065</v>
      </c>
      <c r="J11" s="59">
        <v>0.10832581905620679</v>
      </c>
      <c r="K11" s="59">
        <v>0.10826106476996149</v>
      </c>
      <c r="L11" s="59">
        <v>0.11199321458863444</v>
      </c>
      <c r="M11" s="59">
        <v>0.11278716662265646</v>
      </c>
      <c r="N11" s="59">
        <v>0.1134997811769478</v>
      </c>
      <c r="O11" s="59">
        <v>0.11628930615049331</v>
      </c>
      <c r="P11" s="59">
        <v>0.11747814703770956</v>
      </c>
      <c r="Q11" s="59">
        <v>0.12051016961297124</v>
      </c>
      <c r="R11" s="59">
        <v>0.12147315729693327</v>
      </c>
      <c r="S11" s="59">
        <v>0.12583290370903571</v>
      </c>
      <c r="T11" s="59">
        <v>0.1250882261601152</v>
      </c>
      <c r="U11" s="59">
        <v>0.12286237977362484</v>
      </c>
      <c r="V11" s="59">
        <v>0.12351314858869672</v>
      </c>
    </row>
    <row r="12" spans="1:22" ht="12.75">
      <c r="A12" s="102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ht="12.75">
      <c r="A13" s="102" t="s">
        <v>387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ht="12.75">
      <c r="A14" s="92" t="s">
        <v>388</v>
      </c>
      <c r="B14" s="59">
        <v>0.039719053319295615</v>
      </c>
      <c r="C14" s="59">
        <v>0.04012424114075956</v>
      </c>
      <c r="D14" s="59">
        <v>0.04262096162596694</v>
      </c>
      <c r="E14" s="59">
        <v>0.044118640632389704</v>
      </c>
      <c r="F14" s="59">
        <v>0.048007438894792774</v>
      </c>
      <c r="G14" s="59">
        <v>0.04908834087109775</v>
      </c>
      <c r="H14" s="59">
        <v>0.05003054523239831</v>
      </c>
      <c r="I14" s="59">
        <v>0.05096663003297033</v>
      </c>
      <c r="J14" s="59">
        <v>0.052034866245867145</v>
      </c>
      <c r="K14" s="59">
        <v>0.05427822018478697</v>
      </c>
      <c r="L14" s="59">
        <v>0.0645518801243992</v>
      </c>
      <c r="M14" s="59">
        <v>0.061471261332629167</v>
      </c>
      <c r="N14" s="59">
        <v>0.0662233276047949</v>
      </c>
      <c r="O14" s="59">
        <v>0.06698014965592021</v>
      </c>
      <c r="P14" s="59">
        <v>0.0698239094632828</v>
      </c>
      <c r="Q14" s="59">
        <v>0.07940179951480658</v>
      </c>
      <c r="R14" s="59">
        <v>0.08556896880999527</v>
      </c>
      <c r="S14" s="59">
        <v>0.08794490433158565</v>
      </c>
      <c r="T14" s="59">
        <v>0.09235749710618195</v>
      </c>
      <c r="U14" s="59">
        <v>0.10428752291150961</v>
      </c>
      <c r="V14" s="59">
        <v>0.10701656088398195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F29" sqref="F29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spans="1:22" ht="12.75">
      <c r="A3" s="59" t="s">
        <v>129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s="59" t="s">
        <v>130</v>
      </c>
      <c r="B4" s="59">
        <v>0.5401877785309431</v>
      </c>
      <c r="C4" s="59">
        <v>0.5422278695468022</v>
      </c>
      <c r="D4" s="59">
        <v>0.555368641672297</v>
      </c>
      <c r="E4" s="59">
        <v>0.5657590703330856</v>
      </c>
      <c r="F4" s="59">
        <v>0.5767401700318809</v>
      </c>
      <c r="G4" s="59">
        <v>0.5923905296305415</v>
      </c>
      <c r="H4" s="59">
        <v>0.6047701471262027</v>
      </c>
      <c r="I4" s="59">
        <v>0.6035318213607753</v>
      </c>
      <c r="J4" s="59">
        <v>0.6111331529906823</v>
      </c>
      <c r="K4" s="59">
        <v>0.6156454547602732</v>
      </c>
      <c r="L4" s="59">
        <v>0.6495900480633305</v>
      </c>
      <c r="M4" s="59">
        <v>0.6575565531203239</v>
      </c>
      <c r="N4" s="59">
        <v>0.6616248412198584</v>
      </c>
      <c r="O4" s="59">
        <v>0.6746969843365862</v>
      </c>
      <c r="P4" s="59">
        <v>0.6820974621004181</v>
      </c>
      <c r="Q4" s="59">
        <v>0.6862620658593758</v>
      </c>
      <c r="R4" s="59">
        <v>0.6831847377044237</v>
      </c>
      <c r="S4" s="59">
        <v>0.6903689581043355</v>
      </c>
      <c r="T4" s="59">
        <v>0.6964549552516915</v>
      </c>
      <c r="U4" s="59">
        <v>0.704228945031273</v>
      </c>
      <c r="V4" s="59">
        <v>0.7125313444351572</v>
      </c>
    </row>
    <row r="5" spans="1:22" ht="12.75">
      <c r="A5" t="s">
        <v>131</v>
      </c>
      <c r="B5" s="59">
        <v>0.4042430448389749</v>
      </c>
      <c r="C5" s="59">
        <v>0.404291966680785</v>
      </c>
      <c r="D5" s="59">
        <v>0.39497814486438787</v>
      </c>
      <c r="E5" s="59">
        <v>0.38805486115802984</v>
      </c>
      <c r="F5" s="59">
        <v>0.3797290116896918</v>
      </c>
      <c r="G5" s="59">
        <v>0.365557816164941</v>
      </c>
      <c r="H5" s="59">
        <v>0.35516468971134757</v>
      </c>
      <c r="I5" s="59">
        <v>0.3548056748925967</v>
      </c>
      <c r="J5" s="59">
        <v>0.3492155094679892</v>
      </c>
      <c r="K5" s="59">
        <v>0.34978378506108365</v>
      </c>
      <c r="L5" s="59">
        <v>0.3221826406559231</v>
      </c>
      <c r="M5" s="59">
        <v>0.3156632338702579</v>
      </c>
      <c r="N5" s="59">
        <v>0.3098107447455782</v>
      </c>
      <c r="O5" s="59">
        <v>0.29816311851159993</v>
      </c>
      <c r="P5" s="59">
        <v>0.292713567839196</v>
      </c>
      <c r="Q5" s="59">
        <v>0.2876050484681605</v>
      </c>
      <c r="R5" s="59">
        <v>0.28861057223556846</v>
      </c>
      <c r="S5" s="59">
        <v>0.28461231676118404</v>
      </c>
      <c r="T5" s="59">
        <v>0.2785123422516257</v>
      </c>
      <c r="U5" s="59">
        <v>0.2715651631677406</v>
      </c>
      <c r="V5" s="59">
        <v>0.26336673678022615</v>
      </c>
    </row>
    <row r="6" spans="1:22" ht="12.75">
      <c r="A6" t="s">
        <v>132</v>
      </c>
      <c r="B6" s="59">
        <v>0.04303618558633918</v>
      </c>
      <c r="C6" s="59">
        <v>0.04204433149795284</v>
      </c>
      <c r="D6" s="59">
        <v>0.039849427078306195</v>
      </c>
      <c r="E6" s="59">
        <v>0.03656509695290859</v>
      </c>
      <c r="F6" s="59">
        <v>0.03459086078639745</v>
      </c>
      <c r="G6" s="59">
        <v>0.03133463786333537</v>
      </c>
      <c r="H6" s="59">
        <v>0.03001069083133941</v>
      </c>
      <c r="I6" s="59">
        <v>0.031833849535418124</v>
      </c>
      <c r="J6" s="59">
        <v>0.028866847009317704</v>
      </c>
      <c r="K6" s="59">
        <v>0.026323873437463077</v>
      </c>
      <c r="L6" s="59">
        <v>0.022222222222222223</v>
      </c>
      <c r="M6" s="59">
        <v>0.02182906434292756</v>
      </c>
      <c r="N6" s="59">
        <v>0.022213208372917178</v>
      </c>
      <c r="O6" s="59">
        <v>0.021578794808206382</v>
      </c>
      <c r="P6" s="59">
        <v>0.02048055403065749</v>
      </c>
      <c r="Q6" s="59">
        <v>0.021076228593655634</v>
      </c>
      <c r="R6" s="59">
        <v>0.02162091529546574</v>
      </c>
      <c r="S6" s="59">
        <v>0.02069005768314154</v>
      </c>
      <c r="T6" s="59">
        <v>0.02024261017682875</v>
      </c>
      <c r="U6" s="59">
        <v>0.019812550783242948</v>
      </c>
      <c r="V6" s="59">
        <v>0.01989510521626512</v>
      </c>
    </row>
    <row r="7" spans="1:22" ht="12.75">
      <c r="A7" t="s">
        <v>133</v>
      </c>
      <c r="B7" s="59">
        <v>0.01253299104374288</v>
      </c>
      <c r="C7" s="59">
        <v>0.011435832274459974</v>
      </c>
      <c r="D7" s="59">
        <v>0.009789997655916054</v>
      </c>
      <c r="E7" s="59">
        <v>0.009620971555975948</v>
      </c>
      <c r="F7" s="59">
        <v>0.008953241232731137</v>
      </c>
      <c r="G7" s="59">
        <v>0.010704057433877175</v>
      </c>
      <c r="H7" s="59">
        <v>0.010041745150944357</v>
      </c>
      <c r="I7" s="59">
        <v>0.009828654211209912</v>
      </c>
      <c r="J7" s="59">
        <v>0.01080853621881575</v>
      </c>
      <c r="K7" s="59">
        <v>0.008270516789149081</v>
      </c>
      <c r="L7" s="59">
        <v>0.006005089058524173</v>
      </c>
      <c r="M7" s="59">
        <v>0.0049511486664906255</v>
      </c>
      <c r="N7" s="59">
        <v>0.00635120566164619</v>
      </c>
      <c r="O7" s="59">
        <v>0.005561102343607416</v>
      </c>
      <c r="P7" s="59">
        <v>0.004708416029728474</v>
      </c>
      <c r="Q7" s="59">
        <v>0.005066893226740913</v>
      </c>
      <c r="R7" s="59">
        <v>0.006583774764542101</v>
      </c>
      <c r="S7" s="59">
        <v>0.00431894010875169</v>
      </c>
      <c r="T7" s="59">
        <v>0.004790092319853945</v>
      </c>
      <c r="U7" s="59">
        <v>0.0043933410177434285</v>
      </c>
      <c r="V7" s="59">
        <v>0.004197628385887886</v>
      </c>
    </row>
    <row r="9" spans="1:22" ht="12.75">
      <c r="A9" s="59" t="s">
        <v>352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s="59" t="s">
        <v>47</v>
      </c>
      <c r="B10" s="59">
        <v>0.8161183642569695</v>
      </c>
      <c r="C10" s="59">
        <v>0.8279788103207443</v>
      </c>
      <c r="D10" s="59">
        <v>0.8314958802367414</v>
      </c>
      <c r="E10" s="59">
        <v>0.8318876393161531</v>
      </c>
      <c r="F10" s="59">
        <v>0.8344937806630656</v>
      </c>
      <c r="G10" s="59">
        <v>0.8386874796276846</v>
      </c>
      <c r="H10" s="59">
        <v>0.8388622230629182</v>
      </c>
      <c r="I10" s="59">
        <v>0.8383823119129545</v>
      </c>
      <c r="J10" s="59">
        <v>0.8404977123088941</v>
      </c>
      <c r="K10" s="59">
        <v>0.8438287428415598</v>
      </c>
      <c r="L10" s="59">
        <v>0.8528253522000228</v>
      </c>
      <c r="M10" s="59">
        <v>0.8573360717327055</v>
      </c>
      <c r="N10" s="59">
        <v>0.8600408639813193</v>
      </c>
      <c r="O10" s="59">
        <v>0.8565734705096992</v>
      </c>
      <c r="P10" s="59">
        <v>0.8565135913139236</v>
      </c>
      <c r="Q10" s="59">
        <v>0.8678420721220267</v>
      </c>
      <c r="R10" s="59">
        <v>0.884953888140964</v>
      </c>
      <c r="S10" s="59">
        <v>0.8744701314430235</v>
      </c>
      <c r="T10" s="59">
        <v>0.8711542770471742</v>
      </c>
      <c r="U10" s="59">
        <v>0.8730494578153928</v>
      </c>
      <c r="V10" s="59">
        <v>0.8758835827829954</v>
      </c>
    </row>
    <row r="11" spans="1:22" ht="12.75">
      <c r="A11" s="59" t="s">
        <v>48</v>
      </c>
      <c r="B11" s="59">
        <v>0.16260475741436786</v>
      </c>
      <c r="C11" s="59">
        <v>0.15296629154257702</v>
      </c>
      <c r="D11" s="59">
        <v>0.14966539012030483</v>
      </c>
      <c r="E11" s="59">
        <v>0.1497175853547834</v>
      </c>
      <c r="F11" s="59">
        <v>0.14796322909955895</v>
      </c>
      <c r="G11" s="59">
        <v>0.1446887110209699</v>
      </c>
      <c r="H11" s="59">
        <v>0.14510675525500674</v>
      </c>
      <c r="I11" s="59">
        <v>0.1460755138100995</v>
      </c>
      <c r="J11" s="59">
        <v>0.14463787523713872</v>
      </c>
      <c r="K11" s="59">
        <v>0.14227433869648215</v>
      </c>
      <c r="L11" s="59">
        <v>0.13672492738943037</v>
      </c>
      <c r="M11" s="59">
        <v>0.13316635776185945</v>
      </c>
      <c r="N11" s="59">
        <v>0.13048258416034247</v>
      </c>
      <c r="O11" s="59">
        <v>0.12674742794313987</v>
      </c>
      <c r="P11" s="59">
        <v>0.12503622418423138</v>
      </c>
      <c r="Q11" s="59">
        <v>0.12509985620706182</v>
      </c>
      <c r="R11" s="59">
        <v>0.1096610526508595</v>
      </c>
      <c r="S11" s="59">
        <v>0.1200085491397428</v>
      </c>
      <c r="T11" s="59">
        <v>0.12379565314810666</v>
      </c>
      <c r="U11" s="59">
        <v>0.12211311225055668</v>
      </c>
      <c r="V11" s="59">
        <v>0.11913018949324661</v>
      </c>
    </row>
    <row r="12" spans="1:22" ht="12.75">
      <c r="A12" t="s">
        <v>49</v>
      </c>
      <c r="B12" s="59">
        <v>0.02127687832866269</v>
      </c>
      <c r="C12" s="59">
        <v>0.019068075797907386</v>
      </c>
      <c r="D12" s="59">
        <v>0.018838729642953852</v>
      </c>
      <c r="E12" s="59">
        <v>0.018382167532402037</v>
      </c>
      <c r="F12" s="59">
        <v>0.01754299023737549</v>
      </c>
      <c r="G12" s="59">
        <v>0.016635881834534544</v>
      </c>
      <c r="H12" s="59">
        <v>0.01603102168207505</v>
      </c>
      <c r="I12" s="59">
        <v>0.015553798939830745</v>
      </c>
      <c r="J12" s="59">
        <v>0.01486441245396719</v>
      </c>
      <c r="K12" s="59">
        <v>0.013896918461958004</v>
      </c>
      <c r="L12" s="59">
        <v>0.010439384386401927</v>
      </c>
      <c r="M12" s="59">
        <v>0.009497570505435055</v>
      </c>
      <c r="N12" s="59">
        <v>0.009476551858338199</v>
      </c>
      <c r="O12" s="59">
        <v>0.01667910154716092</v>
      </c>
      <c r="P12" s="59">
        <v>0.01845018450184502</v>
      </c>
      <c r="Q12" s="59">
        <v>0.0070674699021644125</v>
      </c>
      <c r="R12" s="59">
        <v>0.005385059208176498</v>
      </c>
      <c r="S12" s="59">
        <v>0.005521319417233641</v>
      </c>
      <c r="T12" s="59">
        <v>0.005050069804719144</v>
      </c>
      <c r="U12" s="59">
        <v>0.004837429934050558</v>
      </c>
      <c r="V12" s="59">
        <v>0.004986227723758006</v>
      </c>
    </row>
    <row r="13" spans="2:22" ht="12.75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</row>
    <row r="14" spans="1:22" ht="12.75">
      <c r="A14" t="s">
        <v>353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2.75">
      <c r="A15" s="59" t="s">
        <v>50</v>
      </c>
      <c r="B15" s="59">
        <v>0.712855112693079</v>
      </c>
      <c r="C15" s="59">
        <v>0.7233745354874417</v>
      </c>
      <c r="D15" s="59">
        <v>0.7283277242659858</v>
      </c>
      <c r="E15" s="59">
        <v>0.7289701951686923</v>
      </c>
      <c r="F15" s="59">
        <v>0.7312800436096932</v>
      </c>
      <c r="G15" s="59">
        <v>0.7340673403112287</v>
      </c>
      <c r="H15" s="59">
        <v>0.7337266214267136</v>
      </c>
      <c r="I15" s="59">
        <v>0.7336673486468892</v>
      </c>
      <c r="J15" s="59">
        <v>0.7364356656623144</v>
      </c>
      <c r="K15" s="59">
        <v>0.7428633760567221</v>
      </c>
      <c r="L15" s="59">
        <v>0.7569070481348644</v>
      </c>
      <c r="M15" s="59">
        <v>0.762961478735661</v>
      </c>
      <c r="N15" s="59">
        <v>0.7666958552247519</v>
      </c>
      <c r="O15" s="59">
        <v>0.7651378308332679</v>
      </c>
      <c r="P15" s="59">
        <v>0.7689573230810842</v>
      </c>
      <c r="Q15" s="59">
        <v>0.7714632106237606</v>
      </c>
      <c r="R15" s="59">
        <v>0.7739099376322225</v>
      </c>
      <c r="S15" s="59">
        <v>0.7776956506251559</v>
      </c>
      <c r="T15" s="59">
        <v>0.788095279132698</v>
      </c>
      <c r="U15" s="59">
        <v>0.7925621315405551</v>
      </c>
      <c r="V15" s="59">
        <v>0.796775959911061</v>
      </c>
    </row>
    <row r="16" spans="1:22" ht="12.75">
      <c r="A16" s="59" t="s">
        <v>51</v>
      </c>
      <c r="B16" s="59">
        <v>0.2614851314199195</v>
      </c>
      <c r="C16" s="59">
        <v>0.2560946683182669</v>
      </c>
      <c r="D16" s="59">
        <v>0.25394246515286323</v>
      </c>
      <c r="E16" s="59">
        <v>0.2543875132381865</v>
      </c>
      <c r="F16" s="59">
        <v>0.2538406263937757</v>
      </c>
      <c r="G16" s="59">
        <v>0.25266500066398656</v>
      </c>
      <c r="H16" s="59">
        <v>0.2542974014612347</v>
      </c>
      <c r="I16" s="59">
        <v>0.25474286245698874</v>
      </c>
      <c r="J16" s="59">
        <v>0.2527954469367258</v>
      </c>
      <c r="K16" s="59">
        <v>0.24937005726752112</v>
      </c>
      <c r="L16" s="59">
        <v>0.237573514971731</v>
      </c>
      <c r="M16" s="59">
        <v>0.23275058858888945</v>
      </c>
      <c r="N16" s="59">
        <v>0.2299280015567231</v>
      </c>
      <c r="O16" s="59">
        <v>0.2321821251865232</v>
      </c>
      <c r="P16" s="59">
        <v>0.22865671065087614</v>
      </c>
      <c r="Q16" s="59">
        <v>0.226638346663158</v>
      </c>
      <c r="R16" s="59">
        <v>0.2243683087433946</v>
      </c>
      <c r="S16" s="59">
        <v>0.22047875182559756</v>
      </c>
      <c r="T16" s="59">
        <v>0.2103276512866475</v>
      </c>
      <c r="U16" s="59">
        <v>0.20551825340625027</v>
      </c>
      <c r="V16" s="59">
        <v>0.20152324693857232</v>
      </c>
    </row>
    <row r="17" spans="1:22" ht="12.75">
      <c r="A17" s="59" t="s">
        <v>52</v>
      </c>
      <c r="B17" s="59">
        <v>0.025659755887001447</v>
      </c>
      <c r="C17" s="59">
        <v>0.02051761853306275</v>
      </c>
      <c r="D17" s="59">
        <v>0.017729810581150956</v>
      </c>
      <c r="E17" s="59">
        <v>0.016642291593121188</v>
      </c>
      <c r="F17" s="59">
        <v>0.014879329996531047</v>
      </c>
      <c r="G17" s="59">
        <v>0.013267659024784807</v>
      </c>
      <c r="H17" s="59">
        <v>0.01197597711205164</v>
      </c>
      <c r="I17" s="59">
        <v>0.011601413559006788</v>
      </c>
      <c r="J17" s="59">
        <v>0.010768887400959715</v>
      </c>
      <c r="K17" s="59">
        <v>0.007766566675756749</v>
      </c>
      <c r="L17" s="59">
        <v>0.005519436893404583</v>
      </c>
      <c r="M17" s="59">
        <v>0.004277914141161148</v>
      </c>
      <c r="N17" s="59">
        <v>0.0033664136991632615</v>
      </c>
      <c r="O17" s="59">
        <v>0.002680043980208906</v>
      </c>
      <c r="P17" s="59">
        <v>0.0023859662680396436</v>
      </c>
      <c r="Q17" s="59">
        <v>0.0019078409443342762</v>
      </c>
      <c r="R17" s="59">
        <v>0.001721753624382962</v>
      </c>
      <c r="S17" s="59">
        <v>0.0018166921953478431</v>
      </c>
      <c r="T17" s="59">
        <v>0.001577069580654613</v>
      </c>
      <c r="U17" s="59">
        <v>0.001919615053194666</v>
      </c>
      <c r="V17" s="59">
        <v>0.0016924965984136992</v>
      </c>
    </row>
    <row r="19" spans="1:22" ht="12.75">
      <c r="A19" t="s">
        <v>359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t="s">
        <v>33</v>
      </c>
      <c r="B20" s="59">
        <v>0.5317227365093701</v>
      </c>
      <c r="C20" s="59">
        <v>0.5067996731940015</v>
      </c>
      <c r="D20" s="59">
        <v>0.5059249803360283</v>
      </c>
      <c r="E20" s="59">
        <v>0.4894977053810076</v>
      </c>
      <c r="F20" s="59">
        <v>0.48381981267654495</v>
      </c>
      <c r="G20" s="14" t="s">
        <v>242</v>
      </c>
      <c r="H20" s="14" t="s">
        <v>242</v>
      </c>
      <c r="I20" s="14" t="s">
        <v>242</v>
      </c>
      <c r="J20" s="14" t="s">
        <v>242</v>
      </c>
      <c r="K20" s="14" t="s">
        <v>242</v>
      </c>
      <c r="L20" s="59">
        <v>0.3861952061520016</v>
      </c>
      <c r="M20" s="59">
        <v>0.7209738015328357</v>
      </c>
      <c r="N20" s="59">
        <v>0.32451838879159367</v>
      </c>
      <c r="O20" s="59">
        <v>0.30463166575041234</v>
      </c>
      <c r="P20" s="59">
        <v>0.29437221073781417</v>
      </c>
      <c r="Q20" s="59">
        <v>0.26114865182372676</v>
      </c>
      <c r="R20" s="59">
        <v>0.22752790980941653</v>
      </c>
      <c r="S20" s="59">
        <v>0.1876001852313611</v>
      </c>
      <c r="T20" s="59">
        <v>0.16492011237697995</v>
      </c>
      <c r="U20" s="59">
        <v>0.14538737831773468</v>
      </c>
      <c r="V20" s="59">
        <v>0.1256015000165931</v>
      </c>
    </row>
    <row r="21" spans="1:22" ht="12.75">
      <c r="A21" t="s">
        <v>244</v>
      </c>
      <c r="B21" s="59">
        <v>0.30055914892486685</v>
      </c>
      <c r="C21" s="59">
        <v>0.3039427562396226</v>
      </c>
      <c r="D21" s="59">
        <v>0.293747501708509</v>
      </c>
      <c r="E21" s="59">
        <v>0.29585455645771347</v>
      </c>
      <c r="F21" s="59">
        <v>0.2922468903315328</v>
      </c>
      <c r="G21" s="89" t="s">
        <v>242</v>
      </c>
      <c r="H21" s="89" t="s">
        <v>242</v>
      </c>
      <c r="I21" s="89" t="s">
        <v>242</v>
      </c>
      <c r="J21" s="89" t="s">
        <v>242</v>
      </c>
      <c r="K21" s="89" t="s">
        <v>242</v>
      </c>
      <c r="L21" s="59">
        <v>0.28182203433627223</v>
      </c>
      <c r="M21" s="59">
        <v>0.27902619846716425</v>
      </c>
      <c r="N21" s="59">
        <v>0.2784393850943763</v>
      </c>
      <c r="O21" s="59">
        <v>0.277065499096835</v>
      </c>
      <c r="P21" s="59">
        <v>0.2659627905179575</v>
      </c>
      <c r="Q21" s="59">
        <v>0.2689021926073513</v>
      </c>
      <c r="R21" s="59">
        <v>0.257841763515308</v>
      </c>
      <c r="S21" s="59">
        <v>0.2561714102518434</v>
      </c>
      <c r="T21" s="59">
        <v>0.24710008790223892</v>
      </c>
      <c r="U21" s="59">
        <v>0.24718669749426248</v>
      </c>
      <c r="V21" s="59">
        <v>0.2202236750406531</v>
      </c>
    </row>
    <row r="22" spans="1:22" ht="12.75">
      <c r="A22" t="s">
        <v>245</v>
      </c>
      <c r="B22" s="59">
        <v>0.16771811456576308</v>
      </c>
      <c r="C22" s="59">
        <v>0.18925757056637588</v>
      </c>
      <c r="D22" s="59">
        <v>0.20032751795546272</v>
      </c>
      <c r="E22" s="59">
        <v>0.21463513036461748</v>
      </c>
      <c r="F22" s="59">
        <v>0.2239332969919223</v>
      </c>
      <c r="G22" s="89" t="s">
        <v>242</v>
      </c>
      <c r="H22" s="89" t="s">
        <v>242</v>
      </c>
      <c r="I22" s="89" t="s">
        <v>242</v>
      </c>
      <c r="J22" s="89" t="s">
        <v>242</v>
      </c>
      <c r="K22" s="89" t="s">
        <v>242</v>
      </c>
      <c r="L22" s="59">
        <v>0.33198275951172623</v>
      </c>
      <c r="M22" s="59">
        <v>0.36290136752993035</v>
      </c>
      <c r="N22" s="59">
        <v>0.39704222611402995</v>
      </c>
      <c r="O22" s="59">
        <v>0.4183028351527527</v>
      </c>
      <c r="P22" s="59">
        <v>0.43966499874422826</v>
      </c>
      <c r="Q22" s="59">
        <v>0.4699491555689219</v>
      </c>
      <c r="R22" s="59">
        <v>0.5146303266752754</v>
      </c>
      <c r="S22" s="59">
        <v>0.5562284045167954</v>
      </c>
      <c r="T22" s="59">
        <v>0.5879797997207811</v>
      </c>
      <c r="U22" s="59">
        <v>0.6074259241880028</v>
      </c>
      <c r="V22" s="59">
        <v>0.6541748249427538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IV1"/>
    </sheetView>
  </sheetViews>
  <sheetFormatPr defaultColWidth="9.140625" defaultRowHeight="12.75"/>
  <cols>
    <col min="1" max="1" width="27.00390625" style="0" customWidth="1"/>
  </cols>
  <sheetData>
    <row r="1" spans="1:12" ht="12.75">
      <c r="A1" s="7"/>
      <c r="B1" s="34">
        <v>1985</v>
      </c>
      <c r="C1" s="33">
        <v>1987</v>
      </c>
      <c r="D1" s="33">
        <v>1989</v>
      </c>
      <c r="E1" s="33">
        <v>1991</v>
      </c>
      <c r="F1" s="33">
        <v>1993</v>
      </c>
      <c r="G1" s="33">
        <v>1995</v>
      </c>
      <c r="H1" s="15">
        <v>1997</v>
      </c>
      <c r="I1" s="15">
        <v>1999</v>
      </c>
      <c r="J1" s="15">
        <v>2001</v>
      </c>
      <c r="K1" s="15">
        <v>2003</v>
      </c>
      <c r="L1" s="15">
        <v>2005</v>
      </c>
    </row>
    <row r="2" spans="1:12" ht="12.75">
      <c r="A2" t="s">
        <v>156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59" t="s">
        <v>85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59" t="s">
        <v>160</v>
      </c>
      <c r="B4" s="9">
        <v>1157</v>
      </c>
      <c r="C4" s="9">
        <v>1033</v>
      </c>
      <c r="D4" s="9">
        <v>998</v>
      </c>
      <c r="E4" s="9">
        <v>941</v>
      </c>
      <c r="F4" s="9">
        <v>915</v>
      </c>
      <c r="G4" s="9">
        <v>882</v>
      </c>
      <c r="H4" s="9">
        <v>1032</v>
      </c>
      <c r="I4" s="9">
        <v>1043</v>
      </c>
      <c r="J4" s="9">
        <v>879</v>
      </c>
      <c r="K4" s="9">
        <v>890</v>
      </c>
      <c r="L4" s="9">
        <v>822</v>
      </c>
    </row>
    <row r="5" spans="1:12" ht="12.75">
      <c r="A5" s="59" t="s">
        <v>161</v>
      </c>
      <c r="B5" s="9">
        <v>3565</v>
      </c>
      <c r="C5" s="9">
        <v>3408</v>
      </c>
      <c r="D5" s="9">
        <v>3210</v>
      </c>
      <c r="E5" s="9">
        <v>3022</v>
      </c>
      <c r="F5" s="9">
        <v>2866</v>
      </c>
      <c r="G5" s="9">
        <v>2811</v>
      </c>
      <c r="H5" s="9">
        <v>2808</v>
      </c>
      <c r="I5" s="9">
        <v>2668</v>
      </c>
      <c r="J5" s="9">
        <v>2490</v>
      </c>
      <c r="K5" s="9">
        <v>2564</v>
      </c>
      <c r="L5" s="9">
        <v>2198</v>
      </c>
    </row>
    <row r="6" spans="1:12" ht="12.75">
      <c r="A6" s="59" t="s">
        <v>162</v>
      </c>
      <c r="B6" s="9">
        <v>6859</v>
      </c>
      <c r="C6" s="9">
        <v>6788</v>
      </c>
      <c r="D6" s="9">
        <v>6651</v>
      </c>
      <c r="E6" s="9">
        <v>6451</v>
      </c>
      <c r="F6" s="9">
        <v>6311</v>
      </c>
      <c r="G6" s="9">
        <v>6283</v>
      </c>
      <c r="H6" s="9">
        <v>6212</v>
      </c>
      <c r="I6" s="9">
        <v>6122</v>
      </c>
      <c r="J6" s="9">
        <v>6390</v>
      </c>
      <c r="K6" s="9">
        <v>6177</v>
      </c>
      <c r="L6" s="9">
        <v>5748</v>
      </c>
    </row>
    <row r="7" spans="1:12" ht="12.75">
      <c r="A7" s="9" t="s">
        <v>163</v>
      </c>
      <c r="B7" s="9">
        <v>16158</v>
      </c>
      <c r="C7" s="9">
        <v>16011</v>
      </c>
      <c r="D7" s="9">
        <v>16413</v>
      </c>
      <c r="E7" s="9">
        <v>15741</v>
      </c>
      <c r="F7" s="9">
        <v>16019</v>
      </c>
      <c r="G7" s="9">
        <v>16335</v>
      </c>
      <c r="H7" s="9">
        <v>16562</v>
      </c>
      <c r="I7" s="9">
        <v>18577</v>
      </c>
      <c r="J7" s="9">
        <v>19812</v>
      </c>
      <c r="K7" s="9">
        <v>19816</v>
      </c>
      <c r="L7" s="9">
        <v>19691</v>
      </c>
    </row>
    <row r="8" spans="1:12" ht="12.75">
      <c r="A8" t="s">
        <v>164</v>
      </c>
      <c r="B8" s="9">
        <v>13081</v>
      </c>
      <c r="C8" s="9">
        <v>13301</v>
      </c>
      <c r="D8" s="9">
        <v>13794</v>
      </c>
      <c r="E8" s="9">
        <v>13603</v>
      </c>
      <c r="F8" s="9">
        <v>14024</v>
      </c>
      <c r="G8" s="9">
        <v>14374</v>
      </c>
      <c r="H8" s="9">
        <v>14811</v>
      </c>
      <c r="I8" s="9">
        <v>16929</v>
      </c>
      <c r="J8" s="9">
        <v>18325</v>
      </c>
      <c r="K8" s="9">
        <v>18505</v>
      </c>
      <c r="L8" s="9">
        <v>19171</v>
      </c>
    </row>
    <row r="9" spans="1:12" ht="12.75">
      <c r="A9" t="s">
        <v>165</v>
      </c>
      <c r="B9" s="9">
        <v>9163</v>
      </c>
      <c r="C9" s="9">
        <v>9135</v>
      </c>
      <c r="D9" s="9">
        <v>9809</v>
      </c>
      <c r="E9" s="9">
        <v>9500</v>
      </c>
      <c r="F9" s="9">
        <v>10048</v>
      </c>
      <c r="G9" s="9">
        <v>10275</v>
      </c>
      <c r="H9" s="9">
        <v>10567</v>
      </c>
      <c r="I9" s="9">
        <v>11217</v>
      </c>
      <c r="J9" s="9">
        <v>12165</v>
      </c>
      <c r="K9" s="9">
        <v>12405</v>
      </c>
      <c r="L9" s="9">
        <v>13225</v>
      </c>
    </row>
    <row r="10" spans="1:12" ht="12.75">
      <c r="A10" t="s">
        <v>166</v>
      </c>
      <c r="B10" s="9">
        <v>4823</v>
      </c>
      <c r="C10" s="9">
        <v>4869</v>
      </c>
      <c r="D10" s="9">
        <v>5281</v>
      </c>
      <c r="E10" s="9">
        <v>5118</v>
      </c>
      <c r="F10" s="9">
        <v>5551</v>
      </c>
      <c r="G10" s="9">
        <v>5700</v>
      </c>
      <c r="H10" s="9">
        <v>5898</v>
      </c>
      <c r="I10" s="9">
        <v>5719</v>
      </c>
      <c r="J10" s="9">
        <v>6215</v>
      </c>
      <c r="K10" s="9">
        <v>6348</v>
      </c>
      <c r="L10" s="9">
        <v>6869</v>
      </c>
    </row>
    <row r="11" spans="1:12" ht="12.75">
      <c r="A11" t="s">
        <v>167</v>
      </c>
      <c r="B11" s="9">
        <v>4187</v>
      </c>
      <c r="C11" s="9">
        <v>4226</v>
      </c>
      <c r="D11" s="9">
        <v>4693</v>
      </c>
      <c r="E11" s="9">
        <v>4600</v>
      </c>
      <c r="F11" s="9">
        <v>4940</v>
      </c>
      <c r="G11" s="9">
        <v>5123</v>
      </c>
      <c r="H11" s="9">
        <v>5424</v>
      </c>
      <c r="I11" s="9">
        <v>5103</v>
      </c>
      <c r="J11" s="9">
        <v>5464</v>
      </c>
      <c r="K11" s="9">
        <v>5706</v>
      </c>
      <c r="L11" s="9">
        <v>6335</v>
      </c>
    </row>
    <row r="12" spans="1:12" ht="12.75">
      <c r="A12" t="s">
        <v>168</v>
      </c>
      <c r="B12" s="9">
        <v>2264</v>
      </c>
      <c r="C12" s="9">
        <v>2436</v>
      </c>
      <c r="D12" s="9">
        <v>2542</v>
      </c>
      <c r="E12" s="9">
        <v>2684</v>
      </c>
      <c r="F12" s="9">
        <v>2812</v>
      </c>
      <c r="G12" s="9">
        <v>2907</v>
      </c>
      <c r="H12" s="9">
        <v>3180</v>
      </c>
      <c r="I12" s="9">
        <v>3307</v>
      </c>
      <c r="J12" s="9">
        <v>2992</v>
      </c>
      <c r="K12" s="9">
        <v>3349</v>
      </c>
      <c r="L12" s="9">
        <v>3894</v>
      </c>
    </row>
    <row r="13" spans="1:12" ht="12.75">
      <c r="A13" t="s">
        <v>136</v>
      </c>
      <c r="B13" s="9">
        <v>2894</v>
      </c>
      <c r="C13" s="9">
        <v>4874</v>
      </c>
      <c r="D13" s="9">
        <v>4696</v>
      </c>
      <c r="E13" s="9">
        <v>5644</v>
      </c>
      <c r="F13" s="9">
        <v>5398</v>
      </c>
      <c r="G13" s="9">
        <v>6561</v>
      </c>
      <c r="H13" s="9">
        <v>7355</v>
      </c>
      <c r="I13" s="9">
        <v>5699</v>
      </c>
      <c r="J13" s="9">
        <v>5045</v>
      </c>
      <c r="K13" s="9">
        <v>5265</v>
      </c>
      <c r="L13" s="9">
        <v>5451</v>
      </c>
    </row>
    <row r="14" spans="1:12" ht="12.75">
      <c r="A14" t="s">
        <v>86</v>
      </c>
      <c r="B14" s="9">
        <v>1610</v>
      </c>
      <c r="C14" s="9">
        <v>1626</v>
      </c>
      <c r="D14" s="9">
        <v>1660</v>
      </c>
      <c r="E14" s="9">
        <v>1672</v>
      </c>
      <c r="F14" s="9">
        <v>1701</v>
      </c>
      <c r="G14" s="9">
        <v>1710</v>
      </c>
      <c r="H14" s="9">
        <v>1724</v>
      </c>
      <c r="I14" s="9">
        <v>1705</v>
      </c>
      <c r="J14" s="9">
        <v>1713</v>
      </c>
      <c r="K14" s="9">
        <v>1728</v>
      </c>
      <c r="L14" s="9">
        <v>1774</v>
      </c>
    </row>
    <row r="15" spans="2:12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t="s">
        <v>157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>
      <c r="A17" t="s">
        <v>169</v>
      </c>
      <c r="B17" s="9">
        <v>7325</v>
      </c>
      <c r="C17" s="9">
        <v>7152</v>
      </c>
      <c r="D17" s="9">
        <v>6556</v>
      </c>
      <c r="E17" s="9">
        <v>6669</v>
      </c>
      <c r="F17" s="9">
        <v>6851</v>
      </c>
      <c r="G17" s="9">
        <v>6497</v>
      </c>
      <c r="H17" s="9">
        <v>11448</v>
      </c>
      <c r="I17" s="9">
        <v>11389</v>
      </c>
      <c r="J17" s="9">
        <v>12148</v>
      </c>
      <c r="K17" s="9">
        <v>11983</v>
      </c>
      <c r="L17" s="9">
        <v>11853</v>
      </c>
    </row>
    <row r="18" spans="1:12" ht="12.75">
      <c r="A18" t="s">
        <v>170</v>
      </c>
      <c r="B18" s="9">
        <v>14069</v>
      </c>
      <c r="C18" s="9">
        <v>13065</v>
      </c>
      <c r="D18" s="9">
        <v>12481</v>
      </c>
      <c r="E18" s="9">
        <v>12633</v>
      </c>
      <c r="F18" s="9">
        <v>12374</v>
      </c>
      <c r="G18" s="9">
        <v>12519</v>
      </c>
      <c r="H18" s="9">
        <v>21459</v>
      </c>
      <c r="I18" s="9">
        <v>25241</v>
      </c>
      <c r="J18" s="9">
        <v>23806</v>
      </c>
      <c r="K18" s="9">
        <v>24261</v>
      </c>
      <c r="L18" s="9">
        <v>24720</v>
      </c>
    </row>
    <row r="19" spans="1:12" ht="12.75">
      <c r="A19" t="s">
        <v>171</v>
      </c>
      <c r="B19" s="9">
        <v>9332</v>
      </c>
      <c r="C19" s="9">
        <v>9385</v>
      </c>
      <c r="D19" s="9">
        <v>9386</v>
      </c>
      <c r="E19" s="9">
        <v>9572</v>
      </c>
      <c r="F19" s="9">
        <v>10030</v>
      </c>
      <c r="G19" s="9">
        <v>10245</v>
      </c>
      <c r="H19" s="9">
        <v>15096</v>
      </c>
      <c r="I19" s="9">
        <v>12830</v>
      </c>
      <c r="J19" s="9">
        <v>16791</v>
      </c>
      <c r="K19" s="9">
        <v>16322</v>
      </c>
      <c r="L19" s="9">
        <v>17376</v>
      </c>
    </row>
    <row r="20" spans="1:12" ht="12.75">
      <c r="A20" t="s">
        <v>87</v>
      </c>
      <c r="B20" s="9">
        <v>6036</v>
      </c>
      <c r="C20" s="9">
        <v>6297</v>
      </c>
      <c r="D20" s="9">
        <v>6395</v>
      </c>
      <c r="E20" s="9">
        <v>7064</v>
      </c>
      <c r="F20" s="9">
        <v>7117</v>
      </c>
      <c r="G20" s="9">
        <v>7505</v>
      </c>
      <c r="H20" s="9">
        <v>9572</v>
      </c>
      <c r="I20" s="9">
        <v>11217</v>
      </c>
      <c r="J20" s="9">
        <v>11143</v>
      </c>
      <c r="K20" s="9">
        <v>11108</v>
      </c>
      <c r="L20" s="9">
        <v>11450</v>
      </c>
    </row>
    <row r="21" spans="1:12" ht="12.75">
      <c r="A21" t="s">
        <v>88</v>
      </c>
      <c r="B21" s="9">
        <v>8908</v>
      </c>
      <c r="C21" s="9">
        <v>9555</v>
      </c>
      <c r="D21" s="9">
        <v>9724</v>
      </c>
      <c r="E21" s="9">
        <v>10098</v>
      </c>
      <c r="F21" s="9">
        <v>10685</v>
      </c>
      <c r="G21" s="9">
        <v>10608</v>
      </c>
      <c r="H21" s="9">
        <v>13839</v>
      </c>
      <c r="I21" s="9">
        <v>14661</v>
      </c>
      <c r="J21" s="9">
        <v>15177</v>
      </c>
      <c r="K21" s="9">
        <v>15548</v>
      </c>
      <c r="L21" s="9">
        <v>15838</v>
      </c>
    </row>
    <row r="22" spans="1:12" ht="12.75">
      <c r="A22" t="s">
        <v>89</v>
      </c>
      <c r="B22" s="9">
        <v>1454</v>
      </c>
      <c r="C22" s="9">
        <v>1603</v>
      </c>
      <c r="D22" s="9">
        <v>1547</v>
      </c>
      <c r="E22" s="9">
        <v>1714</v>
      </c>
      <c r="F22" s="9">
        <v>1667</v>
      </c>
      <c r="G22" s="9">
        <v>1748</v>
      </c>
      <c r="H22" s="9">
        <v>2086</v>
      </c>
      <c r="I22" s="9">
        <v>2601</v>
      </c>
      <c r="J22" s="9">
        <v>2451</v>
      </c>
      <c r="K22" s="9">
        <v>2481</v>
      </c>
      <c r="L22" s="9">
        <v>2534</v>
      </c>
    </row>
    <row r="23" spans="1:12" ht="12.75">
      <c r="A23" t="s">
        <v>90</v>
      </c>
      <c r="B23" s="9">
        <v>3920</v>
      </c>
      <c r="C23" s="9">
        <v>3902</v>
      </c>
      <c r="D23" s="9">
        <v>3936</v>
      </c>
      <c r="E23" s="9">
        <v>3830</v>
      </c>
      <c r="F23" s="9">
        <v>3682</v>
      </c>
      <c r="G23" s="9">
        <v>3716</v>
      </c>
      <c r="H23" s="9">
        <v>4034</v>
      </c>
      <c r="I23" s="9">
        <v>4117</v>
      </c>
      <c r="J23" s="9">
        <v>4152</v>
      </c>
      <c r="K23" s="9">
        <v>4207</v>
      </c>
      <c r="L23" s="9">
        <v>4247</v>
      </c>
    </row>
    <row r="24" spans="1:12" ht="12.75">
      <c r="A24" t="s">
        <v>136</v>
      </c>
      <c r="B24" s="9">
        <v>15318</v>
      </c>
      <c r="C24" s="9">
        <v>18260</v>
      </c>
      <c r="D24" s="9">
        <v>21045</v>
      </c>
      <c r="E24" s="9">
        <v>19425</v>
      </c>
      <c r="F24" s="9">
        <v>19878</v>
      </c>
      <c r="G24" s="9">
        <v>22169</v>
      </c>
      <c r="H24" s="9">
        <v>35691</v>
      </c>
      <c r="I24" s="9">
        <v>34353</v>
      </c>
      <c r="J24" s="9">
        <v>34522</v>
      </c>
      <c r="K24" s="9">
        <v>35508</v>
      </c>
      <c r="L24" s="9">
        <v>36761</v>
      </c>
    </row>
    <row r="25" spans="1:12" ht="12.75">
      <c r="A25" t="s">
        <v>86</v>
      </c>
      <c r="B25" s="22">
        <v>0.36</v>
      </c>
      <c r="C25" s="22">
        <v>0.39</v>
      </c>
      <c r="D25" s="22">
        <v>0.41</v>
      </c>
      <c r="E25" s="22">
        <v>0.42</v>
      </c>
      <c r="F25" s="22">
        <v>0.42</v>
      </c>
      <c r="G25" s="22">
        <v>0.43</v>
      </c>
      <c r="H25" s="22">
        <v>0.35</v>
      </c>
      <c r="I25" s="22">
        <v>0.34</v>
      </c>
      <c r="J25" s="22">
        <v>0.35</v>
      </c>
      <c r="K25" s="22">
        <v>0.35</v>
      </c>
      <c r="L25" s="22">
        <v>0.36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N3" sqref="N3"/>
    </sheetView>
  </sheetViews>
  <sheetFormatPr defaultColWidth="9.140625" defaultRowHeight="12.75"/>
  <cols>
    <col min="1" max="1" width="27.00390625" style="0" customWidth="1"/>
  </cols>
  <sheetData>
    <row r="1" spans="1:12" ht="12.75">
      <c r="A1" s="7"/>
      <c r="B1" s="34">
        <v>1985</v>
      </c>
      <c r="C1" s="33">
        <v>1987</v>
      </c>
      <c r="D1" s="33">
        <v>1989</v>
      </c>
      <c r="E1" s="33">
        <v>1991</v>
      </c>
      <c r="F1" s="33">
        <v>1993</v>
      </c>
      <c r="G1" s="33">
        <v>1995</v>
      </c>
      <c r="H1" s="15">
        <v>1997</v>
      </c>
      <c r="I1" s="15">
        <v>1999</v>
      </c>
      <c r="J1" s="15">
        <v>2001</v>
      </c>
      <c r="K1" s="15">
        <v>2003</v>
      </c>
      <c r="L1" s="15">
        <v>2005</v>
      </c>
    </row>
    <row r="2" spans="1:12" ht="12.75">
      <c r="A2" t="s">
        <v>349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59" t="s">
        <v>85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59" t="s">
        <v>160</v>
      </c>
      <c r="B4" s="59">
        <v>0.018887637331243778</v>
      </c>
      <c r="C4" s="59">
        <v>0.016877154573823255</v>
      </c>
      <c r="D4" s="59">
        <v>0.015743559811329685</v>
      </c>
      <c r="E4" s="59">
        <v>0.015261109309114498</v>
      </c>
      <c r="F4" s="59">
        <v>0.014412626405821756</v>
      </c>
      <c r="G4" s="59">
        <v>0.013634255680939867</v>
      </c>
      <c r="H4" s="59">
        <v>0.015520197311035582</v>
      </c>
      <c r="I4" s="59">
        <v>0.014755605856971069</v>
      </c>
      <c r="J4" s="59">
        <v>0.011762029652625381</v>
      </c>
      <c r="K4" s="59">
        <v>0.011747624076029566</v>
      </c>
      <c r="L4" s="59">
        <v>0.01054481546572935</v>
      </c>
    </row>
    <row r="5" spans="1:12" ht="12.75">
      <c r="A5" s="59" t="s">
        <v>161</v>
      </c>
      <c r="B5" s="59">
        <v>0.05819743049773903</v>
      </c>
      <c r="C5" s="59">
        <v>0.0556799058931168</v>
      </c>
      <c r="D5" s="59">
        <v>0.05063810320076983</v>
      </c>
      <c r="E5" s="59">
        <v>0.04901070385987674</v>
      </c>
      <c r="F5" s="59">
        <v>0.04514381123397285</v>
      </c>
      <c r="G5" s="59">
        <v>0.04345339310558046</v>
      </c>
      <c r="H5" s="59">
        <v>0.042229374078864255</v>
      </c>
      <c r="I5" s="59">
        <v>0.037744924665770674</v>
      </c>
      <c r="J5" s="59">
        <v>0.033319060108119684</v>
      </c>
      <c r="K5" s="59">
        <v>0.03384371700105596</v>
      </c>
      <c r="L5" s="59">
        <v>0.028196477364565826</v>
      </c>
    </row>
    <row r="6" spans="1:12" ht="12.75">
      <c r="A6" s="59" t="s">
        <v>162</v>
      </c>
      <c r="B6" s="59">
        <v>0.11197087679775372</v>
      </c>
      <c r="C6" s="59">
        <v>0.11090234777067982</v>
      </c>
      <c r="D6" s="59">
        <v>0.10492025681879132</v>
      </c>
      <c r="E6" s="59">
        <v>0.10462212131041193</v>
      </c>
      <c r="F6" s="59">
        <v>0.09940774343949847</v>
      </c>
      <c r="G6" s="59">
        <v>0.09712474880197866</v>
      </c>
      <c r="H6" s="59">
        <v>0.09342196288386923</v>
      </c>
      <c r="I6" s="59">
        <v>0.0866096059984438</v>
      </c>
      <c r="J6" s="59">
        <v>0.08550553979553605</v>
      </c>
      <c r="K6" s="59">
        <v>0.0815337909186906</v>
      </c>
      <c r="L6" s="59">
        <v>0.07373673880415121</v>
      </c>
    </row>
    <row r="7" spans="1:12" ht="12.75">
      <c r="A7" s="9" t="s">
        <v>163</v>
      </c>
      <c r="B7" s="59">
        <v>0.2637739360399628</v>
      </c>
      <c r="C7" s="59">
        <v>0.26158772689398274</v>
      </c>
      <c r="D7" s="59">
        <v>0.2589168809452446</v>
      </c>
      <c r="E7" s="59">
        <v>0.25528705806033086</v>
      </c>
      <c r="F7" s="59">
        <v>0.252323346879627</v>
      </c>
      <c r="G7" s="59">
        <v>0.2525119802133251</v>
      </c>
      <c r="H7" s="59">
        <v>0.24907510452070863</v>
      </c>
      <c r="I7" s="59">
        <v>0.26281389262219707</v>
      </c>
      <c r="J7" s="59">
        <v>0.26510731681207517</v>
      </c>
      <c r="K7" s="59">
        <v>0.26156282998944036</v>
      </c>
      <c r="L7" s="59">
        <v>0.25260092619912</v>
      </c>
    </row>
    <row r="8" spans="1:12" ht="12.75">
      <c r="A8" t="s">
        <v>164</v>
      </c>
      <c r="B8" s="59">
        <v>0.21354294203111482</v>
      </c>
      <c r="C8" s="59">
        <v>0.21731174538859935</v>
      </c>
      <c r="D8" s="59">
        <v>0.21760186777302773</v>
      </c>
      <c r="E8" s="59">
        <v>0.2206130392474862</v>
      </c>
      <c r="F8" s="59">
        <v>0.22089909586365497</v>
      </c>
      <c r="G8" s="59">
        <v>0.22219817591590663</v>
      </c>
      <c r="H8" s="59">
        <v>0.22274190152494963</v>
      </c>
      <c r="I8" s="59">
        <v>0.239499186531796</v>
      </c>
      <c r="J8" s="59">
        <v>0.24520954878766793</v>
      </c>
      <c r="K8" s="59">
        <v>0.2442581837381204</v>
      </c>
      <c r="L8" s="59">
        <v>0.24593024001642014</v>
      </c>
    </row>
    <row r="9" spans="1:12" ht="12.75">
      <c r="A9" t="s">
        <v>165</v>
      </c>
      <c r="B9" s="59">
        <v>0.14958290481087877</v>
      </c>
      <c r="C9" s="59">
        <v>0.1492476350744196</v>
      </c>
      <c r="D9" s="59">
        <v>0.15473805429792872</v>
      </c>
      <c r="E9" s="59">
        <v>0.15407071034706454</v>
      </c>
      <c r="F9" s="59">
        <v>0.15827111489147214</v>
      </c>
      <c r="G9" s="59">
        <v>0.15883444118101717</v>
      </c>
      <c r="H9" s="59">
        <v>0.15891659397840407</v>
      </c>
      <c r="I9" s="59">
        <v>0.15868996250972625</v>
      </c>
      <c r="J9" s="59">
        <v>0.16278167317882566</v>
      </c>
      <c r="K9" s="59">
        <v>0.16374076029567053</v>
      </c>
      <c r="L9" s="59">
        <v>0.16965350916577937</v>
      </c>
    </row>
    <row r="10" spans="1:12" ht="12.75">
      <c r="A10" t="s">
        <v>166</v>
      </c>
      <c r="B10" s="59">
        <v>0.07873385898754429</v>
      </c>
      <c r="C10" s="59">
        <v>0.07954972470469064</v>
      </c>
      <c r="D10" s="59">
        <v>0.08330835607578363</v>
      </c>
      <c r="E10" s="59">
        <v>0.08300356795329225</v>
      </c>
      <c r="F10" s="59">
        <v>0.08743660019531865</v>
      </c>
      <c r="G10" s="59">
        <v>0.08811253671355697</v>
      </c>
      <c r="H10" s="59">
        <v>0.08869973230667429</v>
      </c>
      <c r="I10" s="59">
        <v>0.0809082549338615</v>
      </c>
      <c r="J10" s="59">
        <v>0.08316383878392121</v>
      </c>
      <c r="K10" s="59">
        <v>0.0837909186906019</v>
      </c>
      <c r="L10" s="59">
        <v>0.08811719882493298</v>
      </c>
    </row>
    <row r="11" spans="1:12" ht="12.75">
      <c r="A11" t="s">
        <v>167</v>
      </c>
      <c r="B11" s="59">
        <v>0.06835137208808789</v>
      </c>
      <c r="C11" s="59">
        <v>0.06904439034750927</v>
      </c>
      <c r="D11" s="59">
        <v>0.07403259137732486</v>
      </c>
      <c r="E11" s="59">
        <v>0.07460265974699967</v>
      </c>
      <c r="F11" s="59">
        <v>0.07781243108716883</v>
      </c>
      <c r="G11" s="59">
        <v>0.07919307466378112</v>
      </c>
      <c r="H11" s="59">
        <v>0.08157126958823352</v>
      </c>
      <c r="I11" s="59">
        <v>0.0721935346961873</v>
      </c>
      <c r="J11" s="59">
        <v>0.07311459615693411</v>
      </c>
      <c r="K11" s="59">
        <v>0.07531678986272439</v>
      </c>
      <c r="L11" s="59">
        <v>0.0812669172450066</v>
      </c>
    </row>
    <row r="12" spans="1:12" ht="12.75">
      <c r="A12" t="s">
        <v>168</v>
      </c>
      <c r="B12" s="59">
        <v>0.036959041415674944</v>
      </c>
      <c r="C12" s="59">
        <v>0.03979936935317856</v>
      </c>
      <c r="D12" s="59">
        <v>0.04010032969979965</v>
      </c>
      <c r="E12" s="59">
        <v>0.04352903016542329</v>
      </c>
      <c r="F12" s="59">
        <v>0.04429323000346533</v>
      </c>
      <c r="G12" s="59">
        <v>0.04493739372391405</v>
      </c>
      <c r="H12" s="59">
        <v>0.04782386380726081</v>
      </c>
      <c r="I12" s="59">
        <v>0.04678503218504633</v>
      </c>
      <c r="J12" s="59">
        <v>0.040036396724294813</v>
      </c>
      <c r="K12" s="59">
        <v>0.04420538542766631</v>
      </c>
      <c r="L12" s="59">
        <v>0.04995317691429451</v>
      </c>
    </row>
    <row r="13" spans="2:12" ht="12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>
      <c r="A14" t="s">
        <v>350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t="s">
        <v>169</v>
      </c>
      <c r="B15" s="59">
        <v>0.14350364391505369</v>
      </c>
      <c r="C15" s="59">
        <v>0.14034812300084382</v>
      </c>
      <c r="D15" s="59">
        <v>0.1310544727636182</v>
      </c>
      <c r="E15" s="59">
        <v>0.12929430011632415</v>
      </c>
      <c r="F15" s="59">
        <v>0.13072930580467884</v>
      </c>
      <c r="G15" s="59">
        <v>0.12296074794655362</v>
      </c>
      <c r="H15" s="59">
        <v>0.14765135295483273</v>
      </c>
      <c r="I15" s="59">
        <v>0.13879545676123622</v>
      </c>
      <c r="J15" s="59">
        <v>0.14180324041649156</v>
      </c>
      <c r="K15" s="59">
        <v>0.13948318007216856</v>
      </c>
      <c r="L15" s="59">
        <v>0.13466563657433706</v>
      </c>
    </row>
    <row r="16" spans="1:12" ht="12.75">
      <c r="A16" t="s">
        <v>170</v>
      </c>
      <c r="B16" s="59">
        <v>0.2756249510226471</v>
      </c>
      <c r="C16" s="59">
        <v>0.2563825820757864</v>
      </c>
      <c r="D16" s="59">
        <v>0.2494952523738131</v>
      </c>
      <c r="E16" s="59">
        <v>0.24492051182628927</v>
      </c>
      <c r="F16" s="59">
        <v>0.23611800175552417</v>
      </c>
      <c r="G16" s="59">
        <v>0.2369317536621371</v>
      </c>
      <c r="H16" s="59">
        <v>0.2767689013851988</v>
      </c>
      <c r="I16" s="59">
        <v>0.3076070000974944</v>
      </c>
      <c r="J16" s="59">
        <v>0.27788672549843585</v>
      </c>
      <c r="K16" s="59">
        <v>0.28240018624141544</v>
      </c>
      <c r="L16" s="59">
        <v>0.2808516439819128</v>
      </c>
    </row>
    <row r="17" spans="1:12" ht="12.75">
      <c r="A17" t="s">
        <v>171</v>
      </c>
      <c r="B17" s="59">
        <v>0.18282266280072096</v>
      </c>
      <c r="C17" s="59">
        <v>0.18416766420063188</v>
      </c>
      <c r="D17" s="59">
        <v>0.18762618690654673</v>
      </c>
      <c r="E17" s="59">
        <v>0.18557580457541684</v>
      </c>
      <c r="F17" s="59">
        <v>0.1913902988207457</v>
      </c>
      <c r="G17" s="59">
        <v>0.19389454559218744</v>
      </c>
      <c r="H17" s="59">
        <v>0.19470167926329093</v>
      </c>
      <c r="I17" s="59">
        <v>0.1563566344935166</v>
      </c>
      <c r="J17" s="59">
        <v>0.19600084045384508</v>
      </c>
      <c r="K17" s="59">
        <v>0.1899895239203818</v>
      </c>
      <c r="L17" s="59">
        <v>0.19741416528437364</v>
      </c>
    </row>
    <row r="18" spans="1:12" ht="12.75">
      <c r="A18" t="s">
        <v>87</v>
      </c>
      <c r="B18" s="59">
        <v>0.11825092077423399</v>
      </c>
      <c r="C18" s="59">
        <v>0.12356992876626308</v>
      </c>
      <c r="D18" s="59">
        <v>0.1278360819590205</v>
      </c>
      <c r="E18" s="59">
        <v>0.13695230709577355</v>
      </c>
      <c r="F18" s="59">
        <v>0.13580506048925695</v>
      </c>
      <c r="G18" s="59">
        <v>0.14203792724932812</v>
      </c>
      <c r="H18" s="59">
        <v>0.12345551628962778</v>
      </c>
      <c r="I18" s="59">
        <v>0.1366993272886809</v>
      </c>
      <c r="J18" s="59">
        <v>0.1300719054956343</v>
      </c>
      <c r="K18" s="59">
        <v>0.12929810266558026</v>
      </c>
      <c r="L18" s="59">
        <v>0.13008702765343452</v>
      </c>
    </row>
    <row r="19" spans="1:12" ht="12.75">
      <c r="A19" t="s">
        <v>88</v>
      </c>
      <c r="B19" s="59">
        <v>0.17451610375362434</v>
      </c>
      <c r="C19" s="59">
        <v>0.18750367942856022</v>
      </c>
      <c r="D19" s="59">
        <v>0.19438280859570214</v>
      </c>
      <c r="E19" s="59">
        <v>0.1957735556417216</v>
      </c>
      <c r="F19" s="59">
        <v>0.2038888676869061</v>
      </c>
      <c r="G19" s="59">
        <v>0.2007646012339604</v>
      </c>
      <c r="H19" s="59">
        <v>0.17848943689220212</v>
      </c>
      <c r="I19" s="59">
        <v>0.17867066393682363</v>
      </c>
      <c r="J19" s="59">
        <v>0.17716066676005043</v>
      </c>
      <c r="K19" s="59">
        <v>0.1809800954487254</v>
      </c>
      <c r="L19" s="59">
        <v>0.1799404667227158</v>
      </c>
    </row>
    <row r="20" spans="1:12" ht="12.75">
      <c r="A20" t="s">
        <v>89</v>
      </c>
      <c r="B20" s="59">
        <v>0.028485228430373793</v>
      </c>
      <c r="C20" s="59">
        <v>0.03145666123746541</v>
      </c>
      <c r="D20" s="59">
        <v>0.030924537731134433</v>
      </c>
      <c r="E20" s="59">
        <v>0.0332299340829779</v>
      </c>
      <c r="F20" s="59">
        <v>0.031809334808991334</v>
      </c>
      <c r="G20" s="59">
        <v>0.0330822514099701</v>
      </c>
      <c r="H20" s="59">
        <v>0.026904325844145795</v>
      </c>
      <c r="I20" s="59">
        <v>0.031697864872769814</v>
      </c>
      <c r="J20" s="59">
        <v>0.028610449642807116</v>
      </c>
      <c r="K20" s="59">
        <v>0.028879059480852055</v>
      </c>
      <c r="L20" s="59">
        <v>0.028789565770637824</v>
      </c>
    </row>
    <row r="21" spans="1:12" ht="12.75">
      <c r="A21" t="s">
        <v>90</v>
      </c>
      <c r="B21" s="59">
        <v>0.07679648930334614</v>
      </c>
      <c r="C21" s="59">
        <v>0.07657136129044918</v>
      </c>
      <c r="D21" s="59">
        <v>0.07868065967016492</v>
      </c>
      <c r="E21" s="59">
        <v>0.0742535866614967</v>
      </c>
      <c r="F21" s="59">
        <v>0.07025913063389688</v>
      </c>
      <c r="G21" s="59">
        <v>0.0703281729058632</v>
      </c>
      <c r="H21" s="59">
        <v>0.052028787370701886</v>
      </c>
      <c r="I21" s="59">
        <v>0.0501730525494784</v>
      </c>
      <c r="J21" s="59">
        <v>0.04846617173273568</v>
      </c>
      <c r="K21" s="59">
        <v>0.0489698521708765</v>
      </c>
      <c r="L21" s="59">
        <v>0.04825149401258833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M1">
      <selection activeCell="B3" sqref="B3:V24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t="s">
        <v>153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t="s">
        <v>23</v>
      </c>
      <c r="B3" s="9">
        <v>3851</v>
      </c>
      <c r="C3" s="9">
        <v>3691</v>
      </c>
      <c r="D3">
        <v>1291</v>
      </c>
      <c r="E3" s="9">
        <v>1343</v>
      </c>
      <c r="F3" s="9">
        <v>1395</v>
      </c>
      <c r="G3" s="9">
        <v>1483</v>
      </c>
      <c r="H3" s="9">
        <v>1409</v>
      </c>
      <c r="I3" s="9">
        <v>1498</v>
      </c>
      <c r="J3" s="9">
        <v>1520</v>
      </c>
      <c r="K3" s="9">
        <v>1427</v>
      </c>
      <c r="L3" s="9">
        <v>954</v>
      </c>
      <c r="M3" s="9">
        <v>899</v>
      </c>
      <c r="N3" s="9">
        <v>956</v>
      </c>
      <c r="O3" s="9">
        <v>864</v>
      </c>
      <c r="P3" s="9">
        <v>814</v>
      </c>
      <c r="Q3" s="9">
        <v>758</v>
      </c>
      <c r="R3" s="9">
        <v>453</v>
      </c>
      <c r="S3" s="9">
        <v>547</v>
      </c>
      <c r="T3" s="9">
        <v>565</v>
      </c>
      <c r="U3" s="9">
        <v>466</v>
      </c>
      <c r="V3" s="9">
        <v>556</v>
      </c>
    </row>
    <row r="4" spans="1:22" ht="12.75">
      <c r="A4" t="s">
        <v>24</v>
      </c>
      <c r="B4" s="9" t="s">
        <v>364</v>
      </c>
      <c r="C4" s="9" t="s">
        <v>364</v>
      </c>
      <c r="D4">
        <v>2182</v>
      </c>
      <c r="E4" s="9">
        <v>2244</v>
      </c>
      <c r="F4" s="9">
        <v>2291</v>
      </c>
      <c r="G4" s="9">
        <v>2461</v>
      </c>
      <c r="H4" s="9">
        <v>2521</v>
      </c>
      <c r="I4" s="9">
        <v>2504</v>
      </c>
      <c r="J4" s="9">
        <v>2688</v>
      </c>
      <c r="K4" s="9">
        <v>2629</v>
      </c>
      <c r="L4" s="9">
        <v>1532</v>
      </c>
      <c r="M4" s="9">
        <v>1491</v>
      </c>
      <c r="N4" s="9">
        <v>1372</v>
      </c>
      <c r="O4" s="9">
        <v>1287</v>
      </c>
      <c r="P4" s="9">
        <v>1253</v>
      </c>
      <c r="Q4" s="9">
        <v>1207</v>
      </c>
      <c r="R4" s="9">
        <v>1357</v>
      </c>
      <c r="S4" s="9">
        <v>1292</v>
      </c>
      <c r="T4" s="9">
        <v>1245</v>
      </c>
      <c r="U4" s="9">
        <v>1302</v>
      </c>
      <c r="V4" s="9">
        <v>1292</v>
      </c>
    </row>
    <row r="5" spans="1:22" ht="12.75">
      <c r="A5" s="59" t="s">
        <v>25</v>
      </c>
      <c r="B5" s="9">
        <v>8280</v>
      </c>
      <c r="C5" s="9">
        <v>8182</v>
      </c>
      <c r="D5">
        <v>8165</v>
      </c>
      <c r="E5" s="9">
        <v>8277</v>
      </c>
      <c r="F5" s="9">
        <v>8534</v>
      </c>
      <c r="G5" s="9">
        <v>8847</v>
      </c>
      <c r="H5" s="9">
        <v>8684</v>
      </c>
      <c r="I5" s="9">
        <v>8777</v>
      </c>
      <c r="J5" s="9">
        <v>9295</v>
      </c>
      <c r="K5" s="9">
        <v>9477</v>
      </c>
      <c r="L5" s="9">
        <v>10159</v>
      </c>
      <c r="M5" s="9">
        <v>10210</v>
      </c>
      <c r="N5" s="9">
        <v>10178</v>
      </c>
      <c r="O5" s="9">
        <v>9626</v>
      </c>
      <c r="P5" s="9">
        <v>9489</v>
      </c>
      <c r="Q5" s="9">
        <v>9682</v>
      </c>
      <c r="R5" s="9">
        <v>11088</v>
      </c>
      <c r="S5" s="9">
        <v>10554</v>
      </c>
      <c r="T5" s="9">
        <v>10214</v>
      </c>
      <c r="U5" s="9">
        <v>10318</v>
      </c>
      <c r="V5" s="9">
        <v>10319</v>
      </c>
    </row>
    <row r="6" spans="1:22" ht="12.75">
      <c r="A6" s="59" t="s">
        <v>26</v>
      </c>
      <c r="B6" s="9">
        <v>15621</v>
      </c>
      <c r="C6" s="9">
        <v>15728</v>
      </c>
      <c r="D6">
        <v>15954</v>
      </c>
      <c r="E6" s="9">
        <v>16169</v>
      </c>
      <c r="F6" s="9">
        <v>16192</v>
      </c>
      <c r="G6" s="9">
        <v>16564</v>
      </c>
      <c r="H6" s="9">
        <v>16658</v>
      </c>
      <c r="I6" s="9">
        <v>16726</v>
      </c>
      <c r="J6" s="9">
        <v>17307</v>
      </c>
      <c r="K6" s="9">
        <v>17828</v>
      </c>
      <c r="L6" s="9">
        <v>19416</v>
      </c>
      <c r="M6" s="9">
        <v>20724</v>
      </c>
      <c r="N6" s="9">
        <v>20489</v>
      </c>
      <c r="O6" s="9">
        <v>19871</v>
      </c>
      <c r="P6" s="9">
        <v>19983</v>
      </c>
      <c r="Q6" s="9">
        <v>19718</v>
      </c>
      <c r="R6" s="9">
        <v>22183</v>
      </c>
      <c r="S6" s="9">
        <v>22501</v>
      </c>
      <c r="T6" s="9">
        <v>21992</v>
      </c>
      <c r="U6" s="9">
        <v>22069</v>
      </c>
      <c r="V6" s="9">
        <v>21599</v>
      </c>
    </row>
    <row r="7" spans="1:22" ht="12.75">
      <c r="A7" s="59" t="s">
        <v>27</v>
      </c>
      <c r="B7" s="9">
        <v>18588</v>
      </c>
      <c r="C7" s="9">
        <v>18840</v>
      </c>
      <c r="D7">
        <v>19126</v>
      </c>
      <c r="E7" s="9">
        <v>19262</v>
      </c>
      <c r="F7" s="9">
        <v>19363</v>
      </c>
      <c r="G7" s="9">
        <v>19668</v>
      </c>
      <c r="H7" s="9">
        <v>20134</v>
      </c>
      <c r="I7" s="9">
        <v>20481</v>
      </c>
      <c r="J7" s="9">
        <v>21251</v>
      </c>
      <c r="K7" s="9">
        <v>21937</v>
      </c>
      <c r="L7" s="9">
        <v>21581</v>
      </c>
      <c r="M7" s="9">
        <v>22805</v>
      </c>
      <c r="N7" s="9">
        <v>23067</v>
      </c>
      <c r="O7" s="9">
        <v>23103</v>
      </c>
      <c r="P7" s="9">
        <v>22933</v>
      </c>
      <c r="Q7" s="9">
        <v>23668</v>
      </c>
      <c r="R7" s="9">
        <v>23925</v>
      </c>
      <c r="S7" s="9">
        <v>25837</v>
      </c>
      <c r="T7" s="9">
        <v>27151</v>
      </c>
      <c r="U7" s="9">
        <v>27168</v>
      </c>
      <c r="V7" s="9">
        <v>27687</v>
      </c>
    </row>
    <row r="8" spans="1:22" ht="12.75">
      <c r="A8" s="59" t="s">
        <v>28</v>
      </c>
      <c r="B8" s="9">
        <v>14955</v>
      </c>
      <c r="C8" s="9">
        <v>15085</v>
      </c>
      <c r="D8">
        <v>15645</v>
      </c>
      <c r="E8" s="9">
        <v>16091</v>
      </c>
      <c r="F8" s="9">
        <v>16325</v>
      </c>
      <c r="G8" s="9">
        <v>16628</v>
      </c>
      <c r="H8" s="9">
        <v>17195</v>
      </c>
      <c r="I8" s="9">
        <v>17412</v>
      </c>
      <c r="J8" s="9">
        <v>18143</v>
      </c>
      <c r="K8" s="9">
        <v>18324</v>
      </c>
      <c r="L8" s="9">
        <v>18548</v>
      </c>
      <c r="M8" s="9">
        <v>19447</v>
      </c>
      <c r="N8" s="9">
        <v>20510</v>
      </c>
      <c r="O8" s="9">
        <v>20490</v>
      </c>
      <c r="P8" s="9">
        <v>21008</v>
      </c>
      <c r="Q8" s="9">
        <v>21824</v>
      </c>
      <c r="R8" s="9">
        <v>21032</v>
      </c>
      <c r="S8" s="9">
        <v>22954</v>
      </c>
      <c r="T8" s="9">
        <v>24338</v>
      </c>
      <c r="U8" s="9">
        <v>24239</v>
      </c>
      <c r="V8" s="9">
        <v>24810</v>
      </c>
    </row>
    <row r="9" spans="1:22" ht="12.75">
      <c r="A9" s="59" t="s">
        <v>141</v>
      </c>
      <c r="B9" s="9">
        <v>13998</v>
      </c>
      <c r="C9" s="9">
        <v>14360</v>
      </c>
      <c r="D9">
        <v>15190</v>
      </c>
      <c r="E9" s="9">
        <v>15929</v>
      </c>
      <c r="F9" s="9">
        <v>16615</v>
      </c>
      <c r="G9" s="9">
        <v>17184</v>
      </c>
      <c r="H9" s="9">
        <v>17984</v>
      </c>
      <c r="I9" s="9">
        <v>18625</v>
      </c>
      <c r="J9" s="9">
        <v>19405</v>
      </c>
      <c r="K9" s="9">
        <v>20053</v>
      </c>
      <c r="L9" s="9">
        <v>24558</v>
      </c>
      <c r="M9" s="9">
        <v>24239</v>
      </c>
      <c r="N9" s="9">
        <v>26209</v>
      </c>
      <c r="O9" s="9">
        <v>26624</v>
      </c>
      <c r="P9" s="9">
        <v>28041</v>
      </c>
      <c r="Q9" s="9">
        <v>29545</v>
      </c>
      <c r="R9" s="9">
        <v>29153</v>
      </c>
      <c r="S9" s="9">
        <v>28608</v>
      </c>
      <c r="T9" s="9">
        <v>30534</v>
      </c>
      <c r="U9" s="9">
        <v>31649</v>
      </c>
      <c r="V9" s="9">
        <v>34269</v>
      </c>
    </row>
    <row r="10" spans="1:22" ht="12.75">
      <c r="A10" s="59" t="s">
        <v>86</v>
      </c>
      <c r="B10" s="30">
        <v>5</v>
      </c>
      <c r="C10" s="30">
        <v>5</v>
      </c>
      <c r="D10" s="30">
        <v>5.1</v>
      </c>
      <c r="E10" s="30">
        <v>5.1</v>
      </c>
      <c r="F10" s="30">
        <v>5.1</v>
      </c>
      <c r="G10" s="30">
        <v>5.1</v>
      </c>
      <c r="H10" s="30">
        <v>5.1</v>
      </c>
      <c r="I10" s="30">
        <v>5.1</v>
      </c>
      <c r="J10" s="30">
        <v>5.1</v>
      </c>
      <c r="K10" s="30">
        <v>5.1</v>
      </c>
      <c r="L10" s="30">
        <v>5.3</v>
      </c>
      <c r="M10" s="30">
        <v>5.2</v>
      </c>
      <c r="N10" s="30">
        <v>5.3</v>
      </c>
      <c r="O10" s="30">
        <v>5.3</v>
      </c>
      <c r="P10" s="30">
        <v>5.4</v>
      </c>
      <c r="Q10" s="30">
        <v>5.4</v>
      </c>
      <c r="R10" s="30">
        <v>5.315653082549634</v>
      </c>
      <c r="S10" s="30">
        <v>5.322560668808298</v>
      </c>
      <c r="T10" s="30">
        <v>5.384074251408788</v>
      </c>
      <c r="U10" s="30">
        <v>5.399974234393404</v>
      </c>
      <c r="V10" s="30">
        <v>5.457127893957453</v>
      </c>
    </row>
    <row r="11" spans="1:22" ht="12.75">
      <c r="A11" s="59"/>
      <c r="B11" s="9"/>
      <c r="C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t="s">
        <v>154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59" t="s">
        <v>33</v>
      </c>
      <c r="B13" s="9">
        <v>1860</v>
      </c>
      <c r="C13" s="9">
        <v>1796</v>
      </c>
      <c r="D13" s="9">
        <v>1671</v>
      </c>
      <c r="E13" s="9">
        <v>1722</v>
      </c>
      <c r="F13" s="9">
        <v>1854</v>
      </c>
      <c r="G13" s="9">
        <v>1887</v>
      </c>
      <c r="H13" s="9">
        <v>1798</v>
      </c>
      <c r="I13" s="9">
        <v>1845</v>
      </c>
      <c r="J13" s="9">
        <v>1866</v>
      </c>
      <c r="K13" s="9">
        <v>1790</v>
      </c>
      <c r="L13" s="9">
        <v>1776</v>
      </c>
      <c r="M13" s="9">
        <v>1646</v>
      </c>
      <c r="N13" s="9">
        <v>1734</v>
      </c>
      <c r="O13" s="9">
        <v>1586</v>
      </c>
      <c r="P13" s="9">
        <v>1470</v>
      </c>
      <c r="Q13" s="9">
        <v>1373</v>
      </c>
      <c r="R13" s="9">
        <v>589</v>
      </c>
      <c r="S13" s="9">
        <v>1142</v>
      </c>
      <c r="T13" s="9">
        <v>1107</v>
      </c>
      <c r="U13" s="9">
        <v>1097</v>
      </c>
      <c r="V13" s="9">
        <v>1138</v>
      </c>
    </row>
    <row r="14" spans="1:22" ht="12.75">
      <c r="A14" s="82">
        <v>1</v>
      </c>
      <c r="B14" s="9">
        <v>11190</v>
      </c>
      <c r="C14" s="9">
        <v>11109</v>
      </c>
      <c r="D14" s="9">
        <v>11273</v>
      </c>
      <c r="E14" s="9">
        <v>11577</v>
      </c>
      <c r="F14" s="9">
        <v>11611</v>
      </c>
      <c r="G14" s="9">
        <v>12219</v>
      </c>
      <c r="H14" s="9">
        <v>12252</v>
      </c>
      <c r="I14" s="9">
        <v>12291</v>
      </c>
      <c r="J14" s="9">
        <v>12907</v>
      </c>
      <c r="K14" s="9">
        <v>13129</v>
      </c>
      <c r="L14" s="9">
        <v>13542</v>
      </c>
      <c r="M14" s="9">
        <v>13905</v>
      </c>
      <c r="N14" s="9">
        <v>13865</v>
      </c>
      <c r="O14" s="9">
        <v>13599</v>
      </c>
      <c r="P14" s="9">
        <v>13338</v>
      </c>
      <c r="Q14" s="9">
        <v>13695</v>
      </c>
      <c r="R14" s="9">
        <v>14466</v>
      </c>
      <c r="S14" s="9">
        <v>13941</v>
      </c>
      <c r="T14" s="9">
        <v>13850</v>
      </c>
      <c r="U14" s="9">
        <v>13727</v>
      </c>
      <c r="V14" s="9">
        <v>13989</v>
      </c>
    </row>
    <row r="15" spans="1:22" ht="12.75">
      <c r="A15" s="82">
        <v>2</v>
      </c>
      <c r="B15" s="9">
        <v>25506</v>
      </c>
      <c r="C15" s="9">
        <v>25572</v>
      </c>
      <c r="D15" s="9">
        <v>26259</v>
      </c>
      <c r="E15" s="9">
        <v>26635</v>
      </c>
      <c r="F15" s="9">
        <v>26689</v>
      </c>
      <c r="G15" s="9">
        <v>27206</v>
      </c>
      <c r="H15" s="9">
        <v>27426</v>
      </c>
      <c r="I15" s="9">
        <v>27685</v>
      </c>
      <c r="J15" s="9">
        <v>28802</v>
      </c>
      <c r="K15" s="9">
        <v>30235</v>
      </c>
      <c r="L15" s="9">
        <v>31500</v>
      </c>
      <c r="M15" s="9">
        <v>32465</v>
      </c>
      <c r="N15" s="9">
        <v>33041</v>
      </c>
      <c r="O15" s="9">
        <v>32589</v>
      </c>
      <c r="P15" s="9">
        <v>32678</v>
      </c>
      <c r="Q15" s="9">
        <v>32814</v>
      </c>
      <c r="R15" s="9">
        <v>33034</v>
      </c>
      <c r="S15" s="9">
        <v>33057</v>
      </c>
      <c r="T15" s="9">
        <v>33268</v>
      </c>
      <c r="U15" s="9">
        <v>33202</v>
      </c>
      <c r="V15" s="9">
        <v>32752</v>
      </c>
    </row>
    <row r="16" spans="1:22" ht="12.75">
      <c r="A16" s="82">
        <v>3</v>
      </c>
      <c r="B16" s="9">
        <v>27374</v>
      </c>
      <c r="C16" s="9">
        <v>27871</v>
      </c>
      <c r="D16" s="9">
        <v>28551</v>
      </c>
      <c r="E16" s="9">
        <v>29269</v>
      </c>
      <c r="F16" s="9">
        <v>30061</v>
      </c>
      <c r="G16" s="9">
        <v>30772</v>
      </c>
      <c r="H16" s="9">
        <v>31958</v>
      </c>
      <c r="I16" s="9">
        <v>32706</v>
      </c>
      <c r="J16" s="9">
        <v>34114</v>
      </c>
      <c r="K16" s="9">
        <v>34689</v>
      </c>
      <c r="L16" s="9">
        <v>36592</v>
      </c>
      <c r="M16" s="9">
        <v>38150</v>
      </c>
      <c r="N16" s="9">
        <v>39802</v>
      </c>
      <c r="O16" s="9">
        <v>39404</v>
      </c>
      <c r="P16" s="9">
        <v>40560</v>
      </c>
      <c r="Q16" s="9">
        <v>42421</v>
      </c>
      <c r="R16" s="9">
        <v>43135</v>
      </c>
      <c r="S16" s="9">
        <v>45684</v>
      </c>
      <c r="T16" s="9">
        <v>47629</v>
      </c>
      <c r="U16" s="9">
        <v>47890</v>
      </c>
      <c r="V16" s="9">
        <v>49739</v>
      </c>
    </row>
    <row r="17" spans="1:22" ht="12.75">
      <c r="A17" s="59" t="s">
        <v>34</v>
      </c>
      <c r="B17" s="9">
        <v>9364</v>
      </c>
      <c r="C17" s="9">
        <v>9538</v>
      </c>
      <c r="D17" s="9">
        <v>9799</v>
      </c>
      <c r="E17" s="9">
        <v>10113</v>
      </c>
      <c r="F17" s="9">
        <v>10502</v>
      </c>
      <c r="G17" s="9">
        <v>10749</v>
      </c>
      <c r="H17" s="9">
        <v>11151</v>
      </c>
      <c r="I17" s="9">
        <v>11498</v>
      </c>
      <c r="J17" s="9">
        <v>11922</v>
      </c>
      <c r="K17" s="9">
        <v>11831</v>
      </c>
      <c r="L17" s="9">
        <v>13339</v>
      </c>
      <c r="M17" s="9">
        <v>13640</v>
      </c>
      <c r="N17" s="9">
        <v>14338</v>
      </c>
      <c r="O17" s="9">
        <v>14687</v>
      </c>
      <c r="P17" s="9">
        <v>15476</v>
      </c>
      <c r="Q17" s="9">
        <v>16102</v>
      </c>
      <c r="R17" s="9">
        <v>17967</v>
      </c>
      <c r="S17" s="9">
        <v>18468</v>
      </c>
      <c r="T17" s="9">
        <v>20184</v>
      </c>
      <c r="U17" s="9">
        <v>21295</v>
      </c>
      <c r="V17" s="9">
        <v>22913</v>
      </c>
    </row>
    <row r="18" spans="1:22" ht="12.75">
      <c r="A18" s="59" t="s">
        <v>86</v>
      </c>
      <c r="B18" s="30">
        <v>2.4643613267466478</v>
      </c>
      <c r="C18" s="30">
        <v>2.4778664163929296</v>
      </c>
      <c r="D18" s="30">
        <v>2.480159183518032</v>
      </c>
      <c r="E18" s="30">
        <v>2.4870471184531633</v>
      </c>
      <c r="F18" s="30">
        <v>2.506703037157779</v>
      </c>
      <c r="G18" s="30">
        <v>2.503834654881061</v>
      </c>
      <c r="H18" s="30">
        <v>2.524579135114838</v>
      </c>
      <c r="I18" s="30">
        <v>2.536201308628386</v>
      </c>
      <c r="J18" s="30">
        <v>2.5361581755291085</v>
      </c>
      <c r="K18" s="30">
        <v>2.5186802732854794</v>
      </c>
      <c r="L18" s="30">
        <v>2.5413888281591603</v>
      </c>
      <c r="M18" s="30">
        <v>2.5466579292267366</v>
      </c>
      <c r="N18" s="30">
        <v>2.5675091703934476</v>
      </c>
      <c r="O18" s="30">
        <v>2.5766800324840116</v>
      </c>
      <c r="P18" s="30">
        <v>2.600591715976331</v>
      </c>
      <c r="Q18" s="30">
        <v>2.6196812899271587</v>
      </c>
      <c r="R18" s="30">
        <v>2.6361075692593023</v>
      </c>
      <c r="S18" s="30">
        <v>2.6673890202258996</v>
      </c>
      <c r="T18" s="30">
        <v>2.697726175229377</v>
      </c>
      <c r="U18" s="30">
        <v>2.712946335351848</v>
      </c>
      <c r="V18" s="30">
        <v>2.74177205010153</v>
      </c>
    </row>
    <row r="19" spans="1:22" ht="12.75">
      <c r="A19" s="5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18" t="s">
        <v>155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  <c r="S20" s="10"/>
      <c r="T20" s="10"/>
      <c r="U20" s="10"/>
      <c r="V20" s="10"/>
    </row>
    <row r="21" spans="1:22" ht="12.75">
      <c r="A21" s="23" t="s">
        <v>33</v>
      </c>
      <c r="B21" s="9">
        <v>4106</v>
      </c>
      <c r="C21" s="9">
        <v>3429</v>
      </c>
      <c r="D21" s="9">
        <v>2975</v>
      </c>
      <c r="E21" s="9">
        <v>2976</v>
      </c>
      <c r="F21" s="9">
        <v>2849</v>
      </c>
      <c r="G21" s="9">
        <v>2832</v>
      </c>
      <c r="H21" s="9">
        <v>2695</v>
      </c>
      <c r="I21" s="9">
        <v>2716</v>
      </c>
      <c r="J21" s="9">
        <v>2770</v>
      </c>
      <c r="K21" s="9">
        <v>2642</v>
      </c>
      <c r="L21" s="9">
        <v>1298</v>
      </c>
      <c r="M21" s="9">
        <v>1159</v>
      </c>
      <c r="N21" s="9">
        <v>1019</v>
      </c>
      <c r="O21" s="9">
        <v>901</v>
      </c>
      <c r="P21" s="9">
        <v>828</v>
      </c>
      <c r="Q21" s="9">
        <v>733</v>
      </c>
      <c r="R21" s="9">
        <v>1260</v>
      </c>
      <c r="S21" s="9">
        <v>1587</v>
      </c>
      <c r="T21" s="9">
        <v>1631</v>
      </c>
      <c r="U21" s="9">
        <v>1762</v>
      </c>
      <c r="V21" s="9">
        <v>1617</v>
      </c>
    </row>
    <row r="22" spans="1:22" ht="12.75">
      <c r="A22" s="23">
        <v>1</v>
      </c>
      <c r="B22" s="9">
        <v>48625</v>
      </c>
      <c r="C22" s="9">
        <v>47846</v>
      </c>
      <c r="D22" s="9">
        <v>48459</v>
      </c>
      <c r="E22" s="9">
        <v>48746</v>
      </c>
      <c r="F22" s="9">
        <v>48959</v>
      </c>
      <c r="G22" s="9">
        <v>50031</v>
      </c>
      <c r="H22" s="9">
        <v>50486</v>
      </c>
      <c r="I22" s="9">
        <v>50686</v>
      </c>
      <c r="J22" s="9">
        <v>52665</v>
      </c>
      <c r="K22" s="9">
        <v>53617</v>
      </c>
      <c r="L22" s="9">
        <v>52762</v>
      </c>
      <c r="M22" s="9">
        <v>52507</v>
      </c>
      <c r="N22" s="9">
        <v>51880</v>
      </c>
      <c r="O22" s="9">
        <v>50262</v>
      </c>
      <c r="P22" s="9">
        <v>49373</v>
      </c>
      <c r="Q22" s="9">
        <v>48996</v>
      </c>
      <c r="R22" s="9">
        <v>50061</v>
      </c>
      <c r="S22" s="9">
        <v>47801</v>
      </c>
      <c r="T22" s="9">
        <v>46980</v>
      </c>
      <c r="U22" s="9">
        <v>46574</v>
      </c>
      <c r="V22" s="9">
        <v>45630</v>
      </c>
    </row>
    <row r="23" spans="1:22" ht="12.75">
      <c r="A23" s="24">
        <v>1.5</v>
      </c>
      <c r="B23" s="9">
        <v>8550</v>
      </c>
      <c r="C23" s="9">
        <v>9423</v>
      </c>
      <c r="D23" s="9">
        <v>10383</v>
      </c>
      <c r="E23" s="9">
        <v>10955</v>
      </c>
      <c r="F23" s="9">
        <v>10868</v>
      </c>
      <c r="G23" s="9">
        <v>11098</v>
      </c>
      <c r="H23" s="9">
        <v>11490</v>
      </c>
      <c r="I23" s="9">
        <v>11783</v>
      </c>
      <c r="J23" s="9">
        <v>12223</v>
      </c>
      <c r="K23" s="9">
        <v>12365</v>
      </c>
      <c r="L23" s="9">
        <v>15845</v>
      </c>
      <c r="M23" s="9">
        <v>16692</v>
      </c>
      <c r="N23" s="9">
        <v>16296</v>
      </c>
      <c r="O23" s="9">
        <v>15395</v>
      </c>
      <c r="P23" s="9">
        <v>15547</v>
      </c>
      <c r="Q23" s="9">
        <v>15650</v>
      </c>
      <c r="R23" s="9">
        <v>15930</v>
      </c>
      <c r="S23" s="9">
        <v>17003</v>
      </c>
      <c r="T23" s="9">
        <v>17561</v>
      </c>
      <c r="U23" s="9">
        <v>17312</v>
      </c>
      <c r="V23" s="9">
        <v>16859</v>
      </c>
    </row>
    <row r="24" spans="1:22" ht="12.75">
      <c r="A24" s="23" t="s">
        <v>91</v>
      </c>
      <c r="B24" s="9">
        <v>14012</v>
      </c>
      <c r="C24" s="9">
        <v>15189</v>
      </c>
      <c r="D24" s="9">
        <v>15736</v>
      </c>
      <c r="E24" s="9">
        <v>16640</v>
      </c>
      <c r="F24" s="9">
        <v>18039</v>
      </c>
      <c r="G24" s="9">
        <v>18872</v>
      </c>
      <c r="H24" s="9">
        <v>19915</v>
      </c>
      <c r="I24" s="9">
        <v>20839</v>
      </c>
      <c r="J24" s="9">
        <v>21952</v>
      </c>
      <c r="K24" s="9">
        <v>23049</v>
      </c>
      <c r="L24" s="9">
        <v>26842</v>
      </c>
      <c r="M24" s="9">
        <v>29457</v>
      </c>
      <c r="N24" s="9">
        <v>33585</v>
      </c>
      <c r="O24" s="9">
        <v>35307</v>
      </c>
      <c r="P24" s="9">
        <v>37774</v>
      </c>
      <c r="Q24" s="9">
        <v>41023</v>
      </c>
      <c r="R24" s="9">
        <v>41939</v>
      </c>
      <c r="S24" s="9">
        <v>45901</v>
      </c>
      <c r="T24" s="9">
        <v>49866</v>
      </c>
      <c r="U24" s="9">
        <v>51563</v>
      </c>
      <c r="V24" s="9">
        <v>56425</v>
      </c>
    </row>
    <row r="27" spans="1:22" ht="12.75">
      <c r="A27" s="59" t="s">
        <v>29</v>
      </c>
      <c r="B27" s="9"/>
      <c r="C27" s="9"/>
      <c r="E27" s="9"/>
      <c r="F27" s="9"/>
      <c r="G27" s="9"/>
      <c r="H27" s="9"/>
      <c r="I27" s="9"/>
      <c r="J27" s="9"/>
      <c r="K27" s="9"/>
      <c r="L27" s="9">
        <v>12232</v>
      </c>
      <c r="M27" s="9">
        <v>12332</v>
      </c>
      <c r="N27" s="9">
        <v>13235</v>
      </c>
      <c r="O27" s="9">
        <v>12882</v>
      </c>
      <c r="P27" s="9">
        <v>13592</v>
      </c>
      <c r="Q27" s="9">
        <v>14096</v>
      </c>
      <c r="R27" s="9">
        <v>13629</v>
      </c>
      <c r="S27" s="9">
        <v>13994</v>
      </c>
      <c r="T27" s="9">
        <v>14589</v>
      </c>
      <c r="U27" s="9">
        <v>14510</v>
      </c>
      <c r="V27" s="9">
        <v>15058</v>
      </c>
    </row>
    <row r="28" spans="1:22" ht="12.75">
      <c r="A28" s="59" t="s">
        <v>30</v>
      </c>
      <c r="B28" s="9"/>
      <c r="C28" s="9"/>
      <c r="E28" s="9"/>
      <c r="F28" s="9"/>
      <c r="G28" s="9"/>
      <c r="H28" s="9"/>
      <c r="I28" s="9"/>
      <c r="J28" s="9"/>
      <c r="K28" s="9"/>
      <c r="L28" s="9">
        <v>6966</v>
      </c>
      <c r="M28" s="9">
        <v>6889</v>
      </c>
      <c r="N28" s="9">
        <v>7446</v>
      </c>
      <c r="O28" s="9">
        <v>7749</v>
      </c>
      <c r="P28" s="9">
        <v>7982</v>
      </c>
      <c r="Q28" s="9">
        <v>8321</v>
      </c>
      <c r="R28" s="9">
        <v>8363</v>
      </c>
      <c r="S28" s="9">
        <v>8214</v>
      </c>
      <c r="T28" s="9">
        <v>8393</v>
      </c>
      <c r="U28" s="9">
        <v>8250</v>
      </c>
      <c r="V28" s="9">
        <v>8760</v>
      </c>
    </row>
    <row r="29" spans="1:22" ht="12.75">
      <c r="A29" s="59" t="s">
        <v>31</v>
      </c>
      <c r="B29" s="9"/>
      <c r="C29" s="9"/>
      <c r="E29" s="9"/>
      <c r="F29" s="9"/>
      <c r="G29" s="9"/>
      <c r="H29" s="9"/>
      <c r="I29" s="9"/>
      <c r="J29" s="9"/>
      <c r="K29" s="9"/>
      <c r="L29" s="9">
        <v>3169</v>
      </c>
      <c r="M29" s="9">
        <v>3009</v>
      </c>
      <c r="N29" s="9">
        <v>3275</v>
      </c>
      <c r="O29" s="9">
        <v>3467</v>
      </c>
      <c r="P29" s="9">
        <v>3842</v>
      </c>
      <c r="Q29" s="9">
        <v>4096</v>
      </c>
      <c r="R29" s="9">
        <v>4162</v>
      </c>
      <c r="S29" s="9">
        <v>3679</v>
      </c>
      <c r="T29" s="9">
        <v>3869</v>
      </c>
      <c r="U29" s="9">
        <v>3890</v>
      </c>
      <c r="V29" s="9">
        <v>4203</v>
      </c>
    </row>
    <row r="30" spans="1:22" ht="12.75">
      <c r="A30" s="59" t="s">
        <v>32</v>
      </c>
      <c r="B30" s="9"/>
      <c r="C30" s="9"/>
      <c r="E30" s="9"/>
      <c r="F30" s="9"/>
      <c r="G30" s="9"/>
      <c r="H30" s="9"/>
      <c r="I30" s="9"/>
      <c r="J30" s="9"/>
      <c r="K30" s="9"/>
      <c r="L30" s="9">
        <v>2191</v>
      </c>
      <c r="M30" s="9">
        <v>2009</v>
      </c>
      <c r="N30" s="9">
        <v>2253</v>
      </c>
      <c r="O30" s="9">
        <v>2526</v>
      </c>
      <c r="P30" s="9">
        <v>2625</v>
      </c>
      <c r="Q30" s="9">
        <v>3032</v>
      </c>
      <c r="R30" s="9">
        <v>2999</v>
      </c>
      <c r="S30" s="9">
        <v>2721</v>
      </c>
      <c r="T30" s="9">
        <v>3683</v>
      </c>
      <c r="U30" s="9">
        <v>4999</v>
      </c>
      <c r="V30" s="9">
        <v>6248</v>
      </c>
    </row>
    <row r="32" spans="1:22" ht="12.75">
      <c r="A32" s="59" t="s">
        <v>129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12.75">
      <c r="A33" s="59" t="s">
        <v>130</v>
      </c>
      <c r="B33" s="9">
        <v>37455</v>
      </c>
      <c r="C33" s="9">
        <v>38406</v>
      </c>
      <c r="D33" s="9">
        <v>40277</v>
      </c>
      <c r="E33" s="9">
        <v>41869</v>
      </c>
      <c r="F33" s="9">
        <v>43417</v>
      </c>
      <c r="G33" s="9">
        <v>45713</v>
      </c>
      <c r="H33" s="9">
        <v>47518</v>
      </c>
      <c r="I33" s="9">
        <v>48326</v>
      </c>
      <c r="J33" s="9">
        <v>50831</v>
      </c>
      <c r="K33" s="9">
        <v>52107</v>
      </c>
      <c r="L33" s="9">
        <v>57440</v>
      </c>
      <c r="M33" s="9">
        <v>59764</v>
      </c>
      <c r="N33" s="9">
        <v>61983</v>
      </c>
      <c r="O33" s="9">
        <v>62846</v>
      </c>
      <c r="P33" s="9">
        <v>64611</v>
      </c>
      <c r="Q33" s="9">
        <v>67043</v>
      </c>
      <c r="R33" s="9">
        <v>67968</v>
      </c>
      <c r="S33" s="9">
        <v>70972</v>
      </c>
      <c r="T33" s="9">
        <v>74006</v>
      </c>
      <c r="U33" s="9">
        <v>74537</v>
      </c>
      <c r="V33" s="9">
        <v>77574</v>
      </c>
    </row>
    <row r="34" spans="1:22" ht="12.75">
      <c r="A34" t="s">
        <v>131</v>
      </c>
      <c r="B34" s="9">
        <v>28029</v>
      </c>
      <c r="C34" s="9">
        <v>28636</v>
      </c>
      <c r="D34" s="9">
        <v>28645</v>
      </c>
      <c r="E34" s="9">
        <v>28718</v>
      </c>
      <c r="F34" s="9">
        <v>28586</v>
      </c>
      <c r="G34" s="9">
        <v>28209</v>
      </c>
      <c r="H34" s="9">
        <v>27906</v>
      </c>
      <c r="I34" s="9">
        <v>28410</v>
      </c>
      <c r="J34" s="9">
        <v>29046</v>
      </c>
      <c r="K34" s="9">
        <v>29605</v>
      </c>
      <c r="L34" s="9">
        <v>28489</v>
      </c>
      <c r="M34" s="9">
        <v>28690</v>
      </c>
      <c r="N34" s="9">
        <v>29024</v>
      </c>
      <c r="O34" s="9">
        <v>27773</v>
      </c>
      <c r="P34" s="9">
        <v>27727</v>
      </c>
      <c r="Q34" s="9">
        <v>28097</v>
      </c>
      <c r="R34" s="9">
        <v>28713</v>
      </c>
      <c r="S34" s="9">
        <v>29259</v>
      </c>
      <c r="T34" s="9">
        <v>29595</v>
      </c>
      <c r="U34" s="9">
        <v>28743</v>
      </c>
      <c r="V34" s="9">
        <v>28673</v>
      </c>
    </row>
    <row r="35" spans="1:22" ht="12.75">
      <c r="A35" t="s">
        <v>132</v>
      </c>
      <c r="B35" s="9">
        <v>2984</v>
      </c>
      <c r="C35" s="9">
        <v>2978</v>
      </c>
      <c r="D35" s="9">
        <v>2890</v>
      </c>
      <c r="E35" s="9">
        <v>2706</v>
      </c>
      <c r="F35" s="9">
        <v>2604</v>
      </c>
      <c r="G35" s="9">
        <v>2418</v>
      </c>
      <c r="H35" s="9">
        <v>2358</v>
      </c>
      <c r="I35" s="9">
        <v>2549</v>
      </c>
      <c r="J35" s="9">
        <v>2401</v>
      </c>
      <c r="K35" s="9">
        <v>2228</v>
      </c>
      <c r="L35" s="9">
        <v>1965</v>
      </c>
      <c r="M35" s="9">
        <v>1984</v>
      </c>
      <c r="N35" s="9">
        <v>2081</v>
      </c>
      <c r="O35" s="9">
        <v>2010</v>
      </c>
      <c r="P35" s="9">
        <v>1940</v>
      </c>
      <c r="Q35" s="9">
        <v>2059</v>
      </c>
      <c r="R35" s="9">
        <v>2151</v>
      </c>
      <c r="S35" s="9">
        <v>2127</v>
      </c>
      <c r="T35" s="9">
        <v>2151</v>
      </c>
      <c r="U35" s="9">
        <v>2097</v>
      </c>
      <c r="V35" s="9">
        <v>2166</v>
      </c>
    </row>
    <row r="36" spans="1:22" ht="12.75">
      <c r="A36" t="s">
        <v>133</v>
      </c>
      <c r="B36" s="9">
        <v>869</v>
      </c>
      <c r="C36" s="9">
        <v>810</v>
      </c>
      <c r="D36" s="9">
        <v>710</v>
      </c>
      <c r="E36" s="9">
        <v>712</v>
      </c>
      <c r="F36" s="9">
        <v>674</v>
      </c>
      <c r="G36" s="9">
        <v>826</v>
      </c>
      <c r="H36" s="9">
        <v>789</v>
      </c>
      <c r="I36" s="9">
        <v>787</v>
      </c>
      <c r="J36" s="9">
        <v>899</v>
      </c>
      <c r="K36" s="9">
        <v>700</v>
      </c>
      <c r="L36" s="9">
        <v>531</v>
      </c>
      <c r="M36" s="9">
        <v>450</v>
      </c>
      <c r="N36" s="9">
        <v>595</v>
      </c>
      <c r="O36" s="9">
        <v>518</v>
      </c>
      <c r="P36" s="9">
        <v>446</v>
      </c>
      <c r="Q36" s="9">
        <v>495</v>
      </c>
      <c r="R36" s="9">
        <v>655</v>
      </c>
      <c r="S36" s="9">
        <v>444</v>
      </c>
      <c r="T36" s="9">
        <v>509</v>
      </c>
      <c r="U36" s="9">
        <v>465</v>
      </c>
      <c r="V36" s="9">
        <v>457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t="s">
        <v>346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t="s">
        <v>23</v>
      </c>
      <c r="B3" s="59">
        <v>0.051146852961098645</v>
      </c>
      <c r="C3" s="59">
        <v>0.048638747595076824</v>
      </c>
      <c r="D3" s="59">
        <v>0.016646680334738824</v>
      </c>
      <c r="E3" s="59">
        <v>0.01693227091633466</v>
      </c>
      <c r="F3" s="59">
        <v>0.017282818771990685</v>
      </c>
      <c r="G3" s="59">
        <v>0.017903492569386597</v>
      </c>
      <c r="H3" s="59">
        <v>0.016657602913011608</v>
      </c>
      <c r="I3" s="59">
        <v>0.01741374500139496</v>
      </c>
      <c r="J3" s="59">
        <v>0.016962392590112712</v>
      </c>
      <c r="K3" s="59">
        <v>0.015565857649304609</v>
      </c>
      <c r="L3" s="59">
        <v>0.009860567034284591</v>
      </c>
      <c r="M3" s="59">
        <v>0.009006662325301808</v>
      </c>
      <c r="N3" s="59">
        <v>0.009301420509826814</v>
      </c>
      <c r="O3" s="59">
        <v>0.008481897431869945</v>
      </c>
      <c r="P3" s="59">
        <v>0.007863062923822956</v>
      </c>
      <c r="Q3" s="59">
        <v>0.007123859289681682</v>
      </c>
      <c r="R3" s="59">
        <v>0.004148693573646179</v>
      </c>
      <c r="S3" s="59">
        <v>0.004871228582623874</v>
      </c>
      <c r="T3" s="59">
        <v>0.004869094606939106</v>
      </c>
      <c r="U3" s="59">
        <v>0.003975736065727619</v>
      </c>
      <c r="V3" s="59">
        <v>0.004612882885872632</v>
      </c>
    </row>
    <row r="4" spans="1:22" ht="12.75">
      <c r="A4" t="s">
        <v>24</v>
      </c>
      <c r="B4" s="9" t="s">
        <v>364</v>
      </c>
      <c r="C4" s="9" t="s">
        <v>364</v>
      </c>
      <c r="D4" s="59">
        <v>0.028135597591324644</v>
      </c>
      <c r="E4" s="59">
        <v>0.028291895708306015</v>
      </c>
      <c r="F4" s="59">
        <v>0.028383467961742407</v>
      </c>
      <c r="G4" s="59">
        <v>0.02971038112829428</v>
      </c>
      <c r="H4" s="59">
        <v>0.029803986475303242</v>
      </c>
      <c r="I4" s="59">
        <v>0.029108155863479958</v>
      </c>
      <c r="J4" s="59">
        <v>0.029996652159357214</v>
      </c>
      <c r="K4" s="59">
        <v>0.028677392964275975</v>
      </c>
      <c r="L4" s="59">
        <v>0.01583478899006708</v>
      </c>
      <c r="M4" s="59">
        <v>0.0149376346240545</v>
      </c>
      <c r="N4" s="59">
        <v>0.013348900564312123</v>
      </c>
      <c r="O4" s="59">
        <v>0.01263449304955627</v>
      </c>
      <c r="P4" s="59">
        <v>0.0121037074245088</v>
      </c>
      <c r="Q4" s="59">
        <v>0.011343665122223998</v>
      </c>
      <c r="R4" s="59">
        <v>0.012427764193019572</v>
      </c>
      <c r="S4" s="59">
        <v>0.011505717237203006</v>
      </c>
      <c r="T4" s="59">
        <v>0.010729243868387943</v>
      </c>
      <c r="U4" s="59">
        <v>0.011108172441153134</v>
      </c>
      <c r="V4" s="59">
        <v>0.010719145123286762</v>
      </c>
    </row>
    <row r="5" spans="1:22" ht="12.75">
      <c r="A5" s="59" t="s">
        <v>25</v>
      </c>
      <c r="B5" s="59">
        <v>0.10997038237286334</v>
      </c>
      <c r="C5" s="59">
        <v>0.10781962417310176</v>
      </c>
      <c r="D5" s="59">
        <v>0.10528283883279821</v>
      </c>
      <c r="E5" s="59">
        <v>0.10435473296686672</v>
      </c>
      <c r="F5" s="59">
        <v>0.10572872788542544</v>
      </c>
      <c r="G5" s="59">
        <v>0.10680525877367716</v>
      </c>
      <c r="H5" s="59">
        <v>0.10266474357458681</v>
      </c>
      <c r="I5" s="59">
        <v>0.10202966613968195</v>
      </c>
      <c r="J5" s="59">
        <v>0.10372726258230108</v>
      </c>
      <c r="K5" s="59">
        <v>0.10337605672211617</v>
      </c>
      <c r="L5" s="59">
        <v>0.10500366928857145</v>
      </c>
      <c r="M5" s="59">
        <v>0.10228923508490707</v>
      </c>
      <c r="N5" s="59">
        <v>0.09902704806382565</v>
      </c>
      <c r="O5" s="59">
        <v>0.09449854708238435</v>
      </c>
      <c r="P5" s="59">
        <v>0.09166167577906145</v>
      </c>
      <c r="Q5" s="59">
        <v>0.09099367499036681</v>
      </c>
      <c r="R5" s="59">
        <v>0.10154683078275682</v>
      </c>
      <c r="S5" s="59">
        <v>0.09398710504755459</v>
      </c>
      <c r="T5" s="59">
        <v>0.08802288905358589</v>
      </c>
      <c r="U5" s="59">
        <v>0.08802928052827806</v>
      </c>
      <c r="V5" s="59">
        <v>0.08561211960309295</v>
      </c>
    </row>
    <row r="6" spans="1:22" ht="12.75">
      <c r="A6" s="59" t="s">
        <v>26</v>
      </c>
      <c r="B6" s="59">
        <v>0.20746948587518096</v>
      </c>
      <c r="C6" s="59">
        <v>0.20725825580475976</v>
      </c>
      <c r="D6" s="59">
        <v>0.2057173803721326</v>
      </c>
      <c r="E6" s="59">
        <v>0.20385546421907308</v>
      </c>
      <c r="F6" s="59">
        <v>0.2006045889290847</v>
      </c>
      <c r="G6" s="59">
        <v>0.19996861154370843</v>
      </c>
      <c r="H6" s="59">
        <v>0.19693566311209892</v>
      </c>
      <c r="I6" s="59">
        <v>0.19443411141076908</v>
      </c>
      <c r="J6" s="59">
        <v>0.19313692668228993</v>
      </c>
      <c r="K6" s="59">
        <v>0.19446959367330244</v>
      </c>
      <c r="L6" s="59">
        <v>0.20068424479839586</v>
      </c>
      <c r="M6" s="59">
        <v>0.20762410459349798</v>
      </c>
      <c r="N6" s="59">
        <v>0.19934812220276318</v>
      </c>
      <c r="O6" s="59">
        <v>0.1950738239220922</v>
      </c>
      <c r="P6" s="59">
        <v>0.19303143293213038</v>
      </c>
      <c r="Q6" s="59">
        <v>0.1853143238442525</v>
      </c>
      <c r="R6" s="59">
        <v>0.20315776941323002</v>
      </c>
      <c r="S6" s="59">
        <v>0.20037936807608733</v>
      </c>
      <c r="T6" s="59">
        <v>0.1895241214085041</v>
      </c>
      <c r="U6" s="59">
        <v>0.18828437603979148</v>
      </c>
      <c r="V6" s="59">
        <v>0.17919722563302692</v>
      </c>
    </row>
    <row r="7" spans="1:22" ht="12.75">
      <c r="A7" s="59" t="s">
        <v>27</v>
      </c>
      <c r="B7" s="59">
        <v>0.24687553955879032</v>
      </c>
      <c r="C7" s="59">
        <v>0.2482671375484279</v>
      </c>
      <c r="D7" s="59">
        <v>0.24661844158188595</v>
      </c>
      <c r="E7" s="59">
        <v>0.24285137929295475</v>
      </c>
      <c r="F7" s="59">
        <v>0.2398904802021904</v>
      </c>
      <c r="G7" s="59">
        <v>0.2374415993625729</v>
      </c>
      <c r="H7" s="59">
        <v>0.23802993403163644</v>
      </c>
      <c r="I7" s="59">
        <v>0.23808472054310426</v>
      </c>
      <c r="J7" s="59">
        <v>0.23714987166610868</v>
      </c>
      <c r="K7" s="59">
        <v>0.23929097354785928</v>
      </c>
      <c r="L7" s="59">
        <v>0.2230617370722178</v>
      </c>
      <c r="M7" s="59">
        <v>0.22847267444772829</v>
      </c>
      <c r="N7" s="59">
        <v>0.224430823117338</v>
      </c>
      <c r="O7" s="59">
        <v>0.22680240320427236</v>
      </c>
      <c r="P7" s="59">
        <v>0.22152779119414232</v>
      </c>
      <c r="Q7" s="59">
        <v>0.22243733729312143</v>
      </c>
      <c r="R7" s="59">
        <v>0.21911146523065086</v>
      </c>
      <c r="S7" s="59">
        <v>0.23008762868236385</v>
      </c>
      <c r="T7" s="59">
        <v>0.23398369499646668</v>
      </c>
      <c r="U7" s="59">
        <v>0.23178711895641194</v>
      </c>
      <c r="V7" s="59">
        <v>0.22970663392294163</v>
      </c>
    </row>
    <row r="8" spans="1:22" ht="12.75">
      <c r="A8" s="59" t="s">
        <v>28</v>
      </c>
      <c r="B8" s="59">
        <v>0.19862404207562456</v>
      </c>
      <c r="C8" s="59">
        <v>0.19878501963471523</v>
      </c>
      <c r="D8" s="59">
        <v>0.20173300839425942</v>
      </c>
      <c r="E8" s="59">
        <v>0.20287205607947956</v>
      </c>
      <c r="F8" s="59">
        <v>0.20225234154318847</v>
      </c>
      <c r="G8" s="59">
        <v>0.20074125046780872</v>
      </c>
      <c r="H8" s="59">
        <v>0.20328423143309768</v>
      </c>
      <c r="I8" s="59">
        <v>0.20240863014972565</v>
      </c>
      <c r="J8" s="59">
        <v>0.20246624260685192</v>
      </c>
      <c r="K8" s="59">
        <v>0.19988001090809926</v>
      </c>
      <c r="L8" s="59">
        <v>0.19171257584057716</v>
      </c>
      <c r="M8" s="59">
        <v>0.19483043630716826</v>
      </c>
      <c r="N8" s="59">
        <v>0.1995524421093598</v>
      </c>
      <c r="O8" s="59">
        <v>0.2011505536794157</v>
      </c>
      <c r="P8" s="59">
        <v>0.2029327099553718</v>
      </c>
      <c r="Q8" s="59">
        <v>0.20510699886281403</v>
      </c>
      <c r="R8" s="59">
        <v>0.19261660759586413</v>
      </c>
      <c r="S8" s="59">
        <v>0.20441349339222742</v>
      </c>
      <c r="T8" s="59">
        <v>0.20974163636050258</v>
      </c>
      <c r="U8" s="59">
        <v>0.2067979967750467</v>
      </c>
      <c r="V8" s="59">
        <v>0.20583745395413666</v>
      </c>
    </row>
    <row r="9" spans="1:22" ht="12.75">
      <c r="A9" s="59" t="s">
        <v>141</v>
      </c>
      <c r="B9" s="59">
        <v>0.18591369715644215</v>
      </c>
      <c r="C9" s="59">
        <v>0.1892312152439185</v>
      </c>
      <c r="D9" s="59">
        <v>0.19586605289286035</v>
      </c>
      <c r="E9" s="59">
        <v>0.20082959302032377</v>
      </c>
      <c r="F9" s="59">
        <v>0.20584518558897863</v>
      </c>
      <c r="G9" s="59">
        <v>0.20745355112093006</v>
      </c>
      <c r="H9" s="59">
        <v>0.21261201617288913</v>
      </c>
      <c r="I9" s="59">
        <v>0.21650934622895937</v>
      </c>
      <c r="J9" s="59">
        <v>0.21654949224416917</v>
      </c>
      <c r="K9" s="59">
        <v>0.21874011453504227</v>
      </c>
      <c r="L9" s="59">
        <v>0.2538320809517411</v>
      </c>
      <c r="M9" s="59">
        <v>0.24283925261734207</v>
      </c>
      <c r="N9" s="59">
        <v>0.2550009729519362</v>
      </c>
      <c r="O9" s="59">
        <v>0.2613680986413257</v>
      </c>
      <c r="P9" s="59">
        <v>0.2708699600085006</v>
      </c>
      <c r="Q9" s="59">
        <v>0.27767074236628664</v>
      </c>
      <c r="R9" s="59">
        <v>0.26699086921083237</v>
      </c>
      <c r="S9" s="59">
        <v>0.2547643643358387</v>
      </c>
      <c r="T9" s="59">
        <v>0.26313793757217463</v>
      </c>
      <c r="U9" s="59">
        <v>0.27001731919359107</v>
      </c>
      <c r="V9" s="59">
        <v>0.28431453887764246</v>
      </c>
    </row>
    <row r="10" spans="1:22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ht="12.75">
      <c r="A11" t="s">
        <v>347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59" t="s">
        <v>33</v>
      </c>
      <c r="B12" s="59">
        <v>0.02470349169245481</v>
      </c>
      <c r="C12" s="59">
        <v>0.0236670795667185</v>
      </c>
      <c r="D12" s="59">
        <v>0.02154655525898418</v>
      </c>
      <c r="E12" s="59">
        <v>0.021710625851026275</v>
      </c>
      <c r="F12" s="59">
        <v>0.022969423658258586</v>
      </c>
      <c r="G12" s="59">
        <v>0.02278077577776973</v>
      </c>
      <c r="H12" s="59">
        <v>0.02125647270233845</v>
      </c>
      <c r="I12" s="59">
        <v>0.02144750302241235</v>
      </c>
      <c r="J12" s="59">
        <v>0.02082356879812521</v>
      </c>
      <c r="K12" s="59">
        <v>0.019525497682028905</v>
      </c>
      <c r="L12" s="59">
        <v>0.018356778881435467</v>
      </c>
      <c r="M12" s="59">
        <v>0.01649050743876171</v>
      </c>
      <c r="N12" s="59">
        <v>0.01687098657326328</v>
      </c>
      <c r="O12" s="59">
        <v>0.015569779313594597</v>
      </c>
      <c r="P12" s="59">
        <v>0.014199880218697475</v>
      </c>
      <c r="Q12" s="59">
        <v>0.01290377151020178</v>
      </c>
      <c r="R12" s="59">
        <v>0.005394217472135982</v>
      </c>
      <c r="S12" s="59">
        <v>0.010169914152388417</v>
      </c>
      <c r="T12" s="59">
        <v>0.009539978282976267</v>
      </c>
      <c r="U12" s="59">
        <v>0.009359189837131326</v>
      </c>
      <c r="V12" s="59">
        <v>0.00944147612252348</v>
      </c>
    </row>
    <row r="13" spans="1:22" ht="12.75">
      <c r="A13" s="82">
        <v>1</v>
      </c>
      <c r="B13" s="59">
        <v>0.1486193935691233</v>
      </c>
      <c r="C13" s="59">
        <v>0.14639063858946313</v>
      </c>
      <c r="D13" s="59">
        <v>0.14535865795004707</v>
      </c>
      <c r="E13" s="59">
        <v>0.14596046194966966</v>
      </c>
      <c r="F13" s="59">
        <v>0.14385004212299915</v>
      </c>
      <c r="G13" s="59">
        <v>0.1475136720872116</v>
      </c>
      <c r="H13" s="59">
        <v>0.14484666493273118</v>
      </c>
      <c r="I13" s="59">
        <v>0.142878731516786</v>
      </c>
      <c r="J13" s="59">
        <v>0.14403526392143734</v>
      </c>
      <c r="K13" s="59">
        <v>0.14321243523316063</v>
      </c>
      <c r="L13" s="59">
        <v>0.13997043897094544</v>
      </c>
      <c r="M13" s="59">
        <v>0.13930771928066923</v>
      </c>
      <c r="N13" s="59">
        <v>0.13489978595057403</v>
      </c>
      <c r="O13" s="59">
        <v>0.13350153145370297</v>
      </c>
      <c r="P13" s="59">
        <v>0.12884217847414076</v>
      </c>
      <c r="Q13" s="59">
        <v>0.12870877700816707</v>
      </c>
      <c r="R13" s="59">
        <v>0.13248344643789323</v>
      </c>
      <c r="S13" s="59">
        <v>0.12414953870266804</v>
      </c>
      <c r="T13" s="59">
        <v>0.11935745186921526</v>
      </c>
      <c r="U13" s="59">
        <v>0.11711358148979191</v>
      </c>
      <c r="V13" s="59">
        <v>0.11606046527063353</v>
      </c>
    </row>
    <row r="14" spans="1:22" ht="12.75">
      <c r="A14" s="82">
        <v>2</v>
      </c>
      <c r="B14" s="59">
        <v>0.3387565909181464</v>
      </c>
      <c r="C14" s="59">
        <v>0.33697915293993624</v>
      </c>
      <c r="D14" s="59">
        <v>0.3385942516730494</v>
      </c>
      <c r="E14" s="59">
        <v>0.33580866407786575</v>
      </c>
      <c r="F14" s="59">
        <v>0.3306531542692899</v>
      </c>
      <c r="G14" s="59">
        <v>0.32844397764176114</v>
      </c>
      <c r="H14" s="59">
        <v>0.3242380535786064</v>
      </c>
      <c r="I14" s="59">
        <v>0.321828791965033</v>
      </c>
      <c r="J14" s="59">
        <v>0.3214150206450173</v>
      </c>
      <c r="K14" s="59">
        <v>0.32980638123806927</v>
      </c>
      <c r="L14" s="59">
        <v>0.32558476056600066</v>
      </c>
      <c r="M14" s="59">
        <v>0.3252517156739969</v>
      </c>
      <c r="N14" s="59">
        <v>0.321473049231368</v>
      </c>
      <c r="O14" s="59">
        <v>0.31992656875834447</v>
      </c>
      <c r="P14" s="59">
        <v>0.3156623712833987</v>
      </c>
      <c r="Q14" s="59">
        <v>0.30839356033194554</v>
      </c>
      <c r="R14" s="59">
        <v>0.30253409163758915</v>
      </c>
      <c r="S14" s="59">
        <v>0.29438428383143944</v>
      </c>
      <c r="T14" s="59">
        <v>0.2866991847498233</v>
      </c>
      <c r="U14" s="59">
        <v>0.28326692887186355</v>
      </c>
      <c r="V14" s="59">
        <v>0.2717286695649288</v>
      </c>
    </row>
    <row r="15" spans="1:22" ht="12.75">
      <c r="A15" s="82">
        <v>3</v>
      </c>
      <c r="B15" s="59">
        <v>0.3635663341877731</v>
      </c>
      <c r="C15" s="59">
        <v>0.3672745961046833</v>
      </c>
      <c r="D15" s="59">
        <v>0.3681482341108661</v>
      </c>
      <c r="E15" s="59">
        <v>0.3690176004841394</v>
      </c>
      <c r="F15" s="59">
        <v>0.3724292581396501</v>
      </c>
      <c r="G15" s="59">
        <v>0.37149445269397463</v>
      </c>
      <c r="H15" s="59">
        <v>0.37781665996737046</v>
      </c>
      <c r="I15" s="59">
        <v>0.380196224309495</v>
      </c>
      <c r="J15" s="59">
        <v>0.3806941189599375</v>
      </c>
      <c r="K15" s="59">
        <v>0.3783910553586038</v>
      </c>
      <c r="L15" s="59">
        <v>0.37821579551209833</v>
      </c>
      <c r="M15" s="59">
        <v>0.3822070831037419</v>
      </c>
      <c r="N15" s="59">
        <v>0.387254329636116</v>
      </c>
      <c r="O15" s="59">
        <v>0.38682949815440193</v>
      </c>
      <c r="P15" s="59">
        <v>0.3918007766465099</v>
      </c>
      <c r="Q15" s="59">
        <v>0.3986823679783465</v>
      </c>
      <c r="R15" s="59">
        <v>0.39504171589233544</v>
      </c>
      <c r="S15" s="59">
        <v>0.4068321875111317</v>
      </c>
      <c r="T15" s="59">
        <v>0.41046036643168615</v>
      </c>
      <c r="U15" s="59">
        <v>0.40857939954441136</v>
      </c>
      <c r="V15" s="59">
        <v>0.4126621975906813</v>
      </c>
    </row>
    <row r="16" spans="1:22" ht="12.75">
      <c r="A16" s="59" t="s">
        <v>34</v>
      </c>
      <c r="B16" s="59">
        <v>0.12436747107964884</v>
      </c>
      <c r="C16" s="59">
        <v>0.1256885327991988</v>
      </c>
      <c r="D16" s="59">
        <v>0.12635230100705325</v>
      </c>
      <c r="E16" s="59">
        <v>0.1275026476372989</v>
      </c>
      <c r="F16" s="59">
        <v>0.13011051092720155</v>
      </c>
      <c r="G16" s="59">
        <v>0.1297671217992829</v>
      </c>
      <c r="H16" s="59">
        <v>0.13183032653157734</v>
      </c>
      <c r="I16" s="59">
        <v>0.13366037384915838</v>
      </c>
      <c r="J16" s="59">
        <v>0.13304318714429192</v>
      </c>
      <c r="K16" s="59">
        <v>0.12905372238887375</v>
      </c>
      <c r="L16" s="59">
        <v>0.1378722260695201</v>
      </c>
      <c r="M16" s="59">
        <v>0.13665280769423432</v>
      </c>
      <c r="N16" s="59">
        <v>0.13950184860867873</v>
      </c>
      <c r="O16" s="59">
        <v>0.14418243933087255</v>
      </c>
      <c r="P16" s="59">
        <v>0.14949479337725313</v>
      </c>
      <c r="Q16" s="59">
        <v>0.1513303196338449</v>
      </c>
      <c r="R16" s="59">
        <v>0.16454652856004615</v>
      </c>
      <c r="S16" s="59">
        <v>0.16446407580237238</v>
      </c>
      <c r="T16" s="59">
        <v>0.17394301866629897</v>
      </c>
      <c r="U16" s="59">
        <v>0.18168090025680184</v>
      </c>
      <c r="V16" s="59">
        <v>0.19009889489927986</v>
      </c>
    </row>
    <row r="17" spans="1:22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ht="12.75">
      <c r="A18" t="s">
        <v>348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t="s">
        <v>33</v>
      </c>
      <c r="B19" s="59">
        <v>0.05453362198345132</v>
      </c>
      <c r="C19" s="59">
        <v>0.04518620035316132</v>
      </c>
      <c r="D19" s="59">
        <v>0.038360862893762976</v>
      </c>
      <c r="E19" s="59">
        <v>0.0375208028644914</v>
      </c>
      <c r="F19" s="59">
        <v>0.03529659547053868</v>
      </c>
      <c r="G19" s="59">
        <v>0.034189272391438194</v>
      </c>
      <c r="H19" s="59">
        <v>0.03186106447875535</v>
      </c>
      <c r="I19" s="59">
        <v>0.03157258439505254</v>
      </c>
      <c r="J19" s="59">
        <v>0.03091172860171856</v>
      </c>
      <c r="K19" s="59">
        <v>0.028819198254704116</v>
      </c>
      <c r="L19" s="59">
        <v>0.013416159340148219</v>
      </c>
      <c r="M19" s="59">
        <v>0.011611481240294545</v>
      </c>
      <c r="N19" s="59">
        <v>0.009914380229616658</v>
      </c>
      <c r="O19" s="59">
        <v>0.008845126835781042</v>
      </c>
      <c r="P19" s="59">
        <v>0.00799829987828674</v>
      </c>
      <c r="Q19" s="59">
        <v>0.006888903508359727</v>
      </c>
      <c r="R19" s="59">
        <v>0.011539412588949638</v>
      </c>
      <c r="S19" s="59">
        <v>0.014132796637338367</v>
      </c>
      <c r="T19" s="59">
        <v>0.014055740360916252</v>
      </c>
      <c r="U19" s="59">
        <v>0.015032718772128896</v>
      </c>
      <c r="V19" s="59">
        <v>0.013415524508014469</v>
      </c>
    </row>
    <row r="20" spans="1:22" ht="12.75">
      <c r="A20">
        <v>1</v>
      </c>
      <c r="B20" s="59">
        <v>0.6458103674976425</v>
      </c>
      <c r="C20" s="59">
        <v>0.6304983791476688</v>
      </c>
      <c r="D20" s="59">
        <v>0.6248501025105412</v>
      </c>
      <c r="E20" s="59">
        <v>0.6145796560593071</v>
      </c>
      <c r="F20" s="59">
        <v>0.606558798751177</v>
      </c>
      <c r="G20" s="59">
        <v>0.603998406432219</v>
      </c>
      <c r="H20" s="59">
        <v>0.5968600004728914</v>
      </c>
      <c r="I20" s="59">
        <v>0.5892076629777736</v>
      </c>
      <c r="J20" s="59">
        <v>0.5877134248409775</v>
      </c>
      <c r="K20" s="59">
        <v>0.5848595582219798</v>
      </c>
      <c r="L20" s="59">
        <v>0.5453493059359786</v>
      </c>
      <c r="M20" s="59">
        <v>0.5260431798827832</v>
      </c>
      <c r="N20" s="59">
        <v>0.5047674644872543</v>
      </c>
      <c r="O20" s="59">
        <v>0.4934226026859342</v>
      </c>
      <c r="P20" s="59">
        <v>0.47693243948146286</v>
      </c>
      <c r="Q20" s="59">
        <v>0.4604757384660207</v>
      </c>
      <c r="R20" s="59">
        <v>0.45847185207572055</v>
      </c>
      <c r="S20" s="59">
        <v>0.4256848217148149</v>
      </c>
      <c r="T20" s="59">
        <v>0.4048673710336269</v>
      </c>
      <c r="U20" s="59">
        <v>0.3973517843888372</v>
      </c>
      <c r="V20" s="59">
        <v>0.3785716656157701</v>
      </c>
    </row>
    <row r="21" spans="1:22" ht="12.75">
      <c r="A21" s="88">
        <v>1.5</v>
      </c>
      <c r="B21" s="59">
        <v>0.11355637310241323</v>
      </c>
      <c r="C21" s="59">
        <v>0.12417310175790001</v>
      </c>
      <c r="D21" s="59">
        <v>0.13388263510115664</v>
      </c>
      <c r="E21" s="59">
        <v>0.1381184124262444</v>
      </c>
      <c r="F21" s="59">
        <v>0.13464492789533675</v>
      </c>
      <c r="G21" s="59">
        <v>0.13398041843226732</v>
      </c>
      <c r="H21" s="59">
        <v>0.1358380819520961</v>
      </c>
      <c r="I21" s="59">
        <v>0.13697340277131964</v>
      </c>
      <c r="J21" s="59">
        <v>0.13640218725588663</v>
      </c>
      <c r="K21" s="59">
        <v>0.1348786473956913</v>
      </c>
      <c r="L21" s="59">
        <v>0.1637743025767708</v>
      </c>
      <c r="M21" s="59">
        <v>0.16722937434253368</v>
      </c>
      <c r="N21" s="59">
        <v>0.15855224751897257</v>
      </c>
      <c r="O21" s="59">
        <v>0.15113288305976597</v>
      </c>
      <c r="P21" s="59">
        <v>0.15018063793203376</v>
      </c>
      <c r="Q21" s="59">
        <v>0.14708231910754396</v>
      </c>
      <c r="R21" s="59">
        <v>0.14589114487457758</v>
      </c>
      <c r="S21" s="59">
        <v>0.15141773234068323</v>
      </c>
      <c r="T21" s="59">
        <v>0.15133835467691617</v>
      </c>
      <c r="U21" s="59">
        <v>0.14769944800402693</v>
      </c>
      <c r="V21" s="59">
        <v>0.13987156937576742</v>
      </c>
    </row>
    <row r="22" spans="1:22" ht="12.75">
      <c r="A22" t="s">
        <v>91</v>
      </c>
      <c r="B22" s="59">
        <v>0.1860996374164929</v>
      </c>
      <c r="C22" s="59">
        <v>0.2001554964024985</v>
      </c>
      <c r="D22" s="59">
        <v>0.20290639949453923</v>
      </c>
      <c r="E22" s="59">
        <v>0.20979373644661858</v>
      </c>
      <c r="F22" s="59">
        <v>0.22348728876554835</v>
      </c>
      <c r="G22" s="59">
        <v>0.22783190274407542</v>
      </c>
      <c r="H22" s="59">
        <v>0.23544085309625706</v>
      </c>
      <c r="I22" s="59">
        <v>0.2422463498558542</v>
      </c>
      <c r="J22" s="59">
        <v>0.24497265930141726</v>
      </c>
      <c r="K22" s="59">
        <v>0.25142077992909734</v>
      </c>
      <c r="L22" s="59">
        <v>0.2774395600988124</v>
      </c>
      <c r="M22" s="59">
        <v>0.2951159645343886</v>
      </c>
      <c r="N22" s="59">
        <v>0.3267659077641564</v>
      </c>
      <c r="O22" s="59">
        <v>0.3466092044294353</v>
      </c>
      <c r="P22" s="59">
        <v>0.3648886227082166</v>
      </c>
      <c r="Q22" s="59">
        <v>0.38554364068682273</v>
      </c>
      <c r="R22" s="59">
        <v>0.3840884321967928</v>
      </c>
      <c r="S22" s="59">
        <v>0.40876464930716344</v>
      </c>
      <c r="T22" s="59">
        <v>0.42973853392854067</v>
      </c>
      <c r="U22" s="59">
        <v>0.43991604883500696</v>
      </c>
      <c r="V22" s="59">
        <v>0.46813294394849503</v>
      </c>
    </row>
    <row r="31" spans="2:22" ht="12.75">
      <c r="B31" s="59">
        <f>SUM(B3:B9)</f>
        <v>0.9999999999999999</v>
      </c>
      <c r="C31" s="59">
        <f aca="true" t="shared" si="0" ref="C31:L31">SUM(C3:C9)</f>
        <v>0.9999999999999999</v>
      </c>
      <c r="D31" s="59">
        <f t="shared" si="0"/>
        <v>1</v>
      </c>
      <c r="E31" s="59">
        <f t="shared" si="0"/>
        <v>0.9999873922033385</v>
      </c>
      <c r="F31" s="59">
        <f t="shared" si="0"/>
        <v>0.9999876108826007</v>
      </c>
      <c r="G31" s="59">
        <f t="shared" si="0"/>
        <v>1.0000241449663783</v>
      </c>
      <c r="H31" s="59">
        <f t="shared" si="0"/>
        <v>0.9999881777126239</v>
      </c>
      <c r="I31" s="59">
        <f t="shared" si="0"/>
        <v>0.9999883753371152</v>
      </c>
      <c r="J31" s="59">
        <f t="shared" si="0"/>
        <v>0.9999888405311909</v>
      </c>
      <c r="K31" s="59">
        <f t="shared" si="0"/>
        <v>1</v>
      </c>
      <c r="L31" s="59">
        <f t="shared" si="0"/>
        <v>0.999989663975855</v>
      </c>
      <c r="M31" s="59">
        <f aca="true" t="shared" si="1" ref="M31:V31">SUM(M3:M9)</f>
        <v>0.9999999999999999</v>
      </c>
      <c r="N31" s="59">
        <f t="shared" si="1"/>
        <v>1.0000097295193617</v>
      </c>
      <c r="O31" s="59">
        <f t="shared" si="1"/>
        <v>1.0000098170109166</v>
      </c>
      <c r="P31" s="59">
        <f t="shared" si="1"/>
        <v>0.9999903402175383</v>
      </c>
      <c r="Q31" s="59">
        <f t="shared" si="1"/>
        <v>0.9999906017687471</v>
      </c>
      <c r="R31" s="59">
        <f t="shared" si="1"/>
        <v>0.9999999999999999</v>
      </c>
      <c r="S31" s="59">
        <f t="shared" si="1"/>
        <v>1.0000089053538987</v>
      </c>
      <c r="T31" s="59">
        <f t="shared" si="1"/>
        <v>1.0000086178665608</v>
      </c>
      <c r="U31" s="59">
        <f t="shared" si="1"/>
        <v>1</v>
      </c>
      <c r="V31" s="59">
        <f t="shared" si="1"/>
        <v>1</v>
      </c>
    </row>
    <row r="32" spans="12:22" ht="12.75">
      <c r="L32" s="59">
        <f aca="true" t="shared" si="2" ref="L32:V32">L9-SUM(L36:L39)</f>
        <v>0</v>
      </c>
      <c r="M32" s="59">
        <f t="shared" si="2"/>
        <v>0</v>
      </c>
      <c r="N32" s="59">
        <f t="shared" si="2"/>
        <v>0</v>
      </c>
      <c r="O32" s="59">
        <f t="shared" si="2"/>
        <v>0</v>
      </c>
      <c r="P32" s="59">
        <f t="shared" si="2"/>
        <v>0</v>
      </c>
      <c r="Q32" s="59">
        <f t="shared" si="2"/>
        <v>0</v>
      </c>
      <c r="R32" s="59">
        <f t="shared" si="2"/>
        <v>0</v>
      </c>
      <c r="S32" s="59">
        <f t="shared" si="2"/>
        <v>0</v>
      </c>
      <c r="T32" s="59">
        <f t="shared" si="2"/>
        <v>0</v>
      </c>
      <c r="U32" s="59">
        <f t="shared" si="2"/>
        <v>0</v>
      </c>
      <c r="V32" s="59">
        <f t="shared" si="2"/>
        <v>0</v>
      </c>
    </row>
    <row r="33" spans="2:22" ht="12.75">
      <c r="B33" s="59">
        <f aca="true" t="shared" si="3" ref="B33:V33">SUM(B12:B16)</f>
        <v>1.0000132814471463</v>
      </c>
      <c r="C33" s="59">
        <f t="shared" si="3"/>
        <v>1</v>
      </c>
      <c r="D33" s="59">
        <f t="shared" si="3"/>
        <v>1</v>
      </c>
      <c r="E33" s="59">
        <f t="shared" si="3"/>
        <v>1</v>
      </c>
      <c r="F33" s="59">
        <f t="shared" si="3"/>
        <v>1.0000123891173993</v>
      </c>
      <c r="G33" s="59">
        <f t="shared" si="3"/>
        <v>1</v>
      </c>
      <c r="H33" s="59">
        <f t="shared" si="3"/>
        <v>0.9999881777126238</v>
      </c>
      <c r="I33" s="59">
        <f t="shared" si="3"/>
        <v>1.0000116246628847</v>
      </c>
      <c r="J33" s="59">
        <f t="shared" si="3"/>
        <v>1.0000111594688093</v>
      </c>
      <c r="K33" s="59">
        <f t="shared" si="3"/>
        <v>0.9999890919007364</v>
      </c>
      <c r="L33" s="59">
        <f t="shared" si="3"/>
        <v>1</v>
      </c>
      <c r="M33" s="59">
        <f t="shared" si="3"/>
        <v>0.999909833191404</v>
      </c>
      <c r="N33" s="59">
        <f t="shared" si="3"/>
        <v>1</v>
      </c>
      <c r="O33" s="59">
        <f t="shared" si="3"/>
        <v>1.0000098170109166</v>
      </c>
      <c r="P33" s="59">
        <f t="shared" si="3"/>
        <v>1</v>
      </c>
      <c r="Q33" s="59">
        <f t="shared" si="3"/>
        <v>1.0000187964625058</v>
      </c>
      <c r="R33" s="59">
        <f t="shared" si="3"/>
        <v>0.9999999999999999</v>
      </c>
      <c r="S33" s="59">
        <f t="shared" si="3"/>
        <v>1</v>
      </c>
      <c r="T33" s="59">
        <f t="shared" si="3"/>
        <v>1</v>
      </c>
      <c r="U33" s="59">
        <f t="shared" si="3"/>
        <v>1</v>
      </c>
      <c r="V33" s="59">
        <f t="shared" si="3"/>
        <v>0.999991703448047</v>
      </c>
    </row>
    <row r="36" spans="1:22" ht="12.75">
      <c r="A36" s="59" t="s">
        <v>29</v>
      </c>
      <c r="B36" s="83" t="s">
        <v>242</v>
      </c>
      <c r="C36" s="83" t="s">
        <v>242</v>
      </c>
      <c r="D36" s="83" t="s">
        <v>242</v>
      </c>
      <c r="E36" s="83" t="s">
        <v>242</v>
      </c>
      <c r="F36" s="83" t="s">
        <v>242</v>
      </c>
      <c r="G36" s="83" t="s">
        <v>242</v>
      </c>
      <c r="H36" s="83" t="s">
        <v>242</v>
      </c>
      <c r="I36" s="83" t="s">
        <v>242</v>
      </c>
      <c r="J36" s="83" t="s">
        <v>242</v>
      </c>
      <c r="K36" s="83" t="s">
        <v>242</v>
      </c>
      <c r="L36" s="59">
        <v>0.1264302473410578</v>
      </c>
      <c r="M36" s="59">
        <v>0.12354856484496318</v>
      </c>
      <c r="N36" s="59">
        <v>0.12877018875267562</v>
      </c>
      <c r="O36" s="59">
        <v>0.1264627346265609</v>
      </c>
      <c r="P36" s="59">
        <v>0.1312957632194123</v>
      </c>
      <c r="Q36" s="59">
        <v>0.13247746774057123</v>
      </c>
      <c r="R36" s="59">
        <v>0.12481797950380526</v>
      </c>
      <c r="S36" s="59">
        <v>0.12462152245930254</v>
      </c>
      <c r="T36" s="59">
        <v>0.1257260552577604</v>
      </c>
      <c r="U36" s="59">
        <v>0.12379384187490935</v>
      </c>
      <c r="V36" s="59">
        <v>0.12492947930839943</v>
      </c>
    </row>
    <row r="37" spans="1:22" ht="12.75">
      <c r="A37" s="59" t="s">
        <v>30</v>
      </c>
      <c r="B37" s="83" t="s">
        <v>242</v>
      </c>
      <c r="C37" s="83" t="s">
        <v>242</v>
      </c>
      <c r="D37" s="83" t="s">
        <v>242</v>
      </c>
      <c r="E37" s="83" t="s">
        <v>242</v>
      </c>
      <c r="F37" s="83" t="s">
        <v>242</v>
      </c>
      <c r="G37" s="83" t="s">
        <v>242</v>
      </c>
      <c r="H37" s="83" t="s">
        <v>242</v>
      </c>
      <c r="I37" s="83" t="s">
        <v>242</v>
      </c>
      <c r="J37" s="83" t="s">
        <v>242</v>
      </c>
      <c r="K37" s="83" t="s">
        <v>242</v>
      </c>
      <c r="L37" s="59">
        <v>0.07200074419373843</v>
      </c>
      <c r="M37" s="59">
        <v>0.06901768271301909</v>
      </c>
      <c r="N37" s="59">
        <v>0.07244600116754232</v>
      </c>
      <c r="O37" s="59">
        <v>0.07607201759208357</v>
      </c>
      <c r="P37" s="59">
        <v>0.07710438360928112</v>
      </c>
      <c r="Q37" s="59">
        <v>0.07820268225519957</v>
      </c>
      <c r="R37" s="59">
        <v>0.07659056149316336</v>
      </c>
      <c r="S37" s="59">
        <v>0.07314857692444698</v>
      </c>
      <c r="T37" s="59">
        <v>0.07232975404608835</v>
      </c>
      <c r="U37" s="59">
        <v>0.07038588528380442</v>
      </c>
      <c r="V37" s="59">
        <v>0.07267779510835297</v>
      </c>
    </row>
    <row r="38" spans="1:22" ht="12.75">
      <c r="A38" s="59" t="s">
        <v>31</v>
      </c>
      <c r="B38" s="83" t="s">
        <v>242</v>
      </c>
      <c r="C38" s="83" t="s">
        <v>242</v>
      </c>
      <c r="D38" s="83" t="s">
        <v>242</v>
      </c>
      <c r="E38" s="83" t="s">
        <v>242</v>
      </c>
      <c r="F38" s="83" t="s">
        <v>242</v>
      </c>
      <c r="G38" s="83" t="s">
        <v>242</v>
      </c>
      <c r="H38" s="83" t="s">
        <v>242</v>
      </c>
      <c r="I38" s="83" t="s">
        <v>242</v>
      </c>
      <c r="J38" s="83" t="s">
        <v>242</v>
      </c>
      <c r="K38" s="83" t="s">
        <v>242</v>
      </c>
      <c r="L38" s="59">
        <v>0.032754860515354166</v>
      </c>
      <c r="M38" s="59">
        <v>0.03014576967389671</v>
      </c>
      <c r="N38" s="59">
        <v>0.03186417590971006</v>
      </c>
      <c r="O38" s="59">
        <v>0.034035576847561456</v>
      </c>
      <c r="P38" s="59">
        <v>0.03711288421784741</v>
      </c>
      <c r="Q38" s="59">
        <v>0.03849515521178914</v>
      </c>
      <c r="R38" s="59">
        <v>0.038116694599371746</v>
      </c>
      <c r="S38" s="59">
        <v>0.03276279699355252</v>
      </c>
      <c r="T38" s="59">
        <v>0.03334252572433168</v>
      </c>
      <c r="U38" s="59">
        <v>0.03318801136412111</v>
      </c>
      <c r="V38" s="59">
        <v>0.03487040785849401</v>
      </c>
    </row>
    <row r="39" spans="1:22" ht="12.75">
      <c r="A39" s="59" t="s">
        <v>32</v>
      </c>
      <c r="B39" s="83" t="s">
        <v>242</v>
      </c>
      <c r="C39" s="83" t="s">
        <v>242</v>
      </c>
      <c r="D39" s="83" t="s">
        <v>242</v>
      </c>
      <c r="E39" s="83" t="s">
        <v>242</v>
      </c>
      <c r="F39" s="83" t="s">
        <v>242</v>
      </c>
      <c r="G39" s="83" t="s">
        <v>242</v>
      </c>
      <c r="H39" s="83" t="s">
        <v>242</v>
      </c>
      <c r="I39" s="83" t="s">
        <v>242</v>
      </c>
      <c r="J39" s="83" t="s">
        <v>242</v>
      </c>
      <c r="K39" s="83" t="s">
        <v>242</v>
      </c>
      <c r="L39" s="59">
        <v>0.022646228901590713</v>
      </c>
      <c r="M39" s="59">
        <v>0.020127235385463106</v>
      </c>
      <c r="N39" s="59">
        <v>0.021920607122008173</v>
      </c>
      <c r="O39" s="59">
        <v>0.02479776957511977</v>
      </c>
      <c r="P39" s="59">
        <v>0.025356928961959777</v>
      </c>
      <c r="Q39" s="59">
        <v>0.028495437158726728</v>
      </c>
      <c r="R39" s="59">
        <v>0.027465633614492037</v>
      </c>
      <c r="S39" s="59">
        <v>0.024231467958536673</v>
      </c>
      <c r="T39" s="59">
        <v>0.03173960254399421</v>
      </c>
      <c r="U39" s="59">
        <v>0.04264958067075616</v>
      </c>
      <c r="V39" s="59">
        <v>0.05183685660239604</v>
      </c>
    </row>
    <row r="40" spans="2:22" ht="12.7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23"/>
  <sheetViews>
    <sheetView workbookViewId="0" topLeftCell="A1">
      <selection activeCell="A1" sqref="A1:IV1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spans="1:22" ht="12.75">
      <c r="A3" s="59" t="s">
        <v>345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33" ht="12.75">
      <c r="A4" s="59" t="s">
        <v>362</v>
      </c>
      <c r="B4" s="9">
        <v>7979</v>
      </c>
      <c r="C4" s="9">
        <v>9882</v>
      </c>
      <c r="D4" s="9">
        <v>11212</v>
      </c>
      <c r="E4" s="9">
        <v>12493</v>
      </c>
      <c r="F4" s="9">
        <v>14559</v>
      </c>
      <c r="G4" s="9">
        <v>16357</v>
      </c>
      <c r="H4" s="9">
        <v>18146</v>
      </c>
      <c r="I4" s="9">
        <v>19735</v>
      </c>
      <c r="J4" s="9">
        <v>21545</v>
      </c>
      <c r="K4" s="9">
        <v>23686</v>
      </c>
      <c r="L4" s="9">
        <v>35161</v>
      </c>
      <c r="M4" s="9">
        <v>37410</v>
      </c>
      <c r="N4" s="9">
        <v>40759</v>
      </c>
      <c r="O4" s="9">
        <v>42109</v>
      </c>
      <c r="P4" s="9">
        <v>44311</v>
      </c>
      <c r="Q4" s="9">
        <v>48127</v>
      </c>
      <c r="R4" s="9">
        <v>50255</v>
      </c>
      <c r="S4" s="9">
        <v>53802</v>
      </c>
      <c r="T4" s="9">
        <v>57759</v>
      </c>
      <c r="U4" s="9">
        <v>60246</v>
      </c>
      <c r="V4" s="9">
        <v>65474</v>
      </c>
      <c r="AF4" s="9"/>
      <c r="AG4" s="9"/>
    </row>
    <row r="5" spans="1:33" ht="12.75">
      <c r="A5" s="59" t="s">
        <v>17</v>
      </c>
      <c r="B5" s="9">
        <v>18089</v>
      </c>
      <c r="C5" s="9">
        <v>17161</v>
      </c>
      <c r="D5" s="9">
        <v>17891</v>
      </c>
      <c r="E5" s="9">
        <v>17674</v>
      </c>
      <c r="F5" s="9">
        <v>17452</v>
      </c>
      <c r="G5" s="9">
        <v>17497</v>
      </c>
      <c r="H5" s="9">
        <v>17592</v>
      </c>
      <c r="I5" s="9">
        <v>17624</v>
      </c>
      <c r="J5" s="9">
        <v>17993</v>
      </c>
      <c r="K5" s="9">
        <v>18144</v>
      </c>
      <c r="L5" s="9">
        <v>16025</v>
      </c>
      <c r="M5" s="9">
        <v>16296</v>
      </c>
      <c r="N5" s="9">
        <v>16296</v>
      </c>
      <c r="O5" s="9">
        <v>15693</v>
      </c>
      <c r="P5" s="9">
        <v>15532</v>
      </c>
      <c r="Q5" s="9">
        <v>15334</v>
      </c>
      <c r="R5" s="9">
        <v>15484</v>
      </c>
      <c r="S5" s="9">
        <v>15355</v>
      </c>
      <c r="T5" s="9">
        <v>15417</v>
      </c>
      <c r="U5" s="9">
        <v>15002</v>
      </c>
      <c r="V5" s="9">
        <v>14706</v>
      </c>
      <c r="AF5" s="9"/>
      <c r="AG5" s="9"/>
    </row>
    <row r="6" spans="1:33" ht="12.75">
      <c r="A6" s="59" t="s">
        <v>18</v>
      </c>
      <c r="B6" s="9">
        <v>13548</v>
      </c>
      <c r="C6" s="9">
        <v>13627</v>
      </c>
      <c r="D6" s="9">
        <v>13600</v>
      </c>
      <c r="E6" s="9">
        <v>13840</v>
      </c>
      <c r="F6" s="9">
        <v>13767</v>
      </c>
      <c r="G6" s="9">
        <v>13845</v>
      </c>
      <c r="H6" s="9">
        <v>13982</v>
      </c>
      <c r="I6" s="9">
        <v>14043</v>
      </c>
      <c r="J6" s="9">
        <v>14394</v>
      </c>
      <c r="K6" s="9">
        <v>14331</v>
      </c>
      <c r="L6" s="9">
        <v>13558</v>
      </c>
      <c r="M6" s="9">
        <v>13882</v>
      </c>
      <c r="N6" s="9">
        <v>13865</v>
      </c>
      <c r="O6" s="9">
        <v>13416</v>
      </c>
      <c r="P6" s="9">
        <v>13227</v>
      </c>
      <c r="Q6" s="9">
        <v>13198</v>
      </c>
      <c r="R6" s="9">
        <v>13412</v>
      </c>
      <c r="S6" s="9">
        <v>13213</v>
      </c>
      <c r="T6" s="9">
        <v>13413</v>
      </c>
      <c r="U6" s="9">
        <v>13033</v>
      </c>
      <c r="V6" s="9">
        <v>12637</v>
      </c>
      <c r="AF6" s="9"/>
      <c r="AG6" s="9"/>
    </row>
    <row r="7" spans="1:33" ht="12.75">
      <c r="A7" s="59" t="s">
        <v>19</v>
      </c>
      <c r="B7" s="9">
        <v>8097</v>
      </c>
      <c r="C7" s="9">
        <v>8021</v>
      </c>
      <c r="D7" s="9">
        <v>7974</v>
      </c>
      <c r="E7" s="9">
        <v>8103</v>
      </c>
      <c r="F7" s="9">
        <v>7993</v>
      </c>
      <c r="G7" s="9">
        <v>8007</v>
      </c>
      <c r="H7" s="9">
        <v>7963</v>
      </c>
      <c r="I7" s="9">
        <v>7945</v>
      </c>
      <c r="J7" s="9">
        <v>8096</v>
      </c>
      <c r="K7" s="9">
        <v>8101</v>
      </c>
      <c r="L7" s="9">
        <v>8524</v>
      </c>
      <c r="M7" s="9">
        <v>8698</v>
      </c>
      <c r="N7" s="9">
        <v>8586</v>
      </c>
      <c r="O7" s="9">
        <v>8381</v>
      </c>
      <c r="P7" s="9">
        <v>8276</v>
      </c>
      <c r="Q7" s="9">
        <v>8172</v>
      </c>
      <c r="R7" s="9">
        <v>8155</v>
      </c>
      <c r="S7" s="9">
        <v>8122</v>
      </c>
      <c r="T7" s="9">
        <v>8038</v>
      </c>
      <c r="U7" s="9">
        <v>7915</v>
      </c>
      <c r="V7" s="9">
        <v>7626</v>
      </c>
      <c r="AF7" s="9"/>
      <c r="AG7" s="9"/>
    </row>
    <row r="8" spans="1:33" ht="12.75">
      <c r="A8" s="59" t="s">
        <v>139</v>
      </c>
      <c r="B8" s="9">
        <v>27581</v>
      </c>
      <c r="C8" s="9">
        <v>27194</v>
      </c>
      <c r="D8" s="9">
        <v>26877</v>
      </c>
      <c r="E8" s="9">
        <v>27206</v>
      </c>
      <c r="F8" s="9">
        <v>26945</v>
      </c>
      <c r="G8" s="9">
        <v>27127</v>
      </c>
      <c r="H8" s="9">
        <v>26904</v>
      </c>
      <c r="I8" s="9">
        <v>26677</v>
      </c>
      <c r="J8" s="9">
        <v>27582</v>
      </c>
      <c r="K8" s="9">
        <v>27413</v>
      </c>
      <c r="L8" s="9">
        <v>23479</v>
      </c>
      <c r="M8" s="9">
        <v>23528</v>
      </c>
      <c r="N8" s="9">
        <v>23274</v>
      </c>
      <c r="O8" s="9">
        <v>22264</v>
      </c>
      <c r="P8" s="9">
        <v>22175</v>
      </c>
      <c r="Q8" s="9">
        <v>21571</v>
      </c>
      <c r="R8" s="9">
        <v>21884</v>
      </c>
      <c r="S8" s="9">
        <v>21800</v>
      </c>
      <c r="T8" s="9">
        <v>21411</v>
      </c>
      <c r="U8" s="9">
        <v>21013</v>
      </c>
      <c r="V8" s="9">
        <v>20088</v>
      </c>
      <c r="AF8" s="9"/>
      <c r="AG8" s="9"/>
    </row>
    <row r="10" spans="1:33" ht="12.75">
      <c r="A10" s="59" t="s">
        <v>77</v>
      </c>
      <c r="B10" s="86" t="s">
        <v>363</v>
      </c>
      <c r="C10" s="86" t="s">
        <v>363</v>
      </c>
      <c r="D10" s="86" t="s">
        <v>363</v>
      </c>
      <c r="E10" s="86" t="s">
        <v>363</v>
      </c>
      <c r="F10" s="86" t="s">
        <v>363</v>
      </c>
      <c r="G10" s="86" t="s">
        <v>363</v>
      </c>
      <c r="H10" s="86" t="s">
        <v>363</v>
      </c>
      <c r="I10" s="86" t="s">
        <v>363</v>
      </c>
      <c r="J10" s="86" t="s">
        <v>363</v>
      </c>
      <c r="K10" s="86" t="s">
        <v>363</v>
      </c>
      <c r="L10" s="86" t="s">
        <v>363</v>
      </c>
      <c r="M10" s="86" t="s">
        <v>363</v>
      </c>
      <c r="N10" s="86" t="s">
        <v>363</v>
      </c>
      <c r="O10" s="86" t="s">
        <v>363</v>
      </c>
      <c r="P10" s="86" t="s">
        <v>363</v>
      </c>
      <c r="Q10" s="86" t="s">
        <v>363</v>
      </c>
      <c r="R10" s="86" t="s">
        <v>363</v>
      </c>
      <c r="S10" s="86" t="s">
        <v>363</v>
      </c>
      <c r="T10" s="86" t="s">
        <v>363</v>
      </c>
      <c r="U10" s="86" t="s">
        <v>363</v>
      </c>
      <c r="V10" s="9">
        <v>923</v>
      </c>
      <c r="AF10" s="9"/>
      <c r="AG10" s="9"/>
    </row>
    <row r="11" spans="1:33" ht="12.75">
      <c r="A11" s="59" t="s">
        <v>10</v>
      </c>
      <c r="B11" s="86" t="s">
        <v>363</v>
      </c>
      <c r="C11" s="86" t="s">
        <v>363</v>
      </c>
      <c r="D11" s="86" t="s">
        <v>363</v>
      </c>
      <c r="E11" s="86" t="s">
        <v>363</v>
      </c>
      <c r="F11" s="86" t="s">
        <v>363</v>
      </c>
      <c r="G11" s="86" t="s">
        <v>363</v>
      </c>
      <c r="H11" s="86" t="s">
        <v>363</v>
      </c>
      <c r="I11" s="86" t="s">
        <v>363</v>
      </c>
      <c r="J11" s="86" t="s">
        <v>363</v>
      </c>
      <c r="K11" s="86" t="s">
        <v>363</v>
      </c>
      <c r="L11" s="86" t="s">
        <v>363</v>
      </c>
      <c r="M11" s="86" t="s">
        <v>363</v>
      </c>
      <c r="N11" s="86" t="s">
        <v>363</v>
      </c>
      <c r="O11" s="86" t="s">
        <v>363</v>
      </c>
      <c r="P11" s="86" t="s">
        <v>363</v>
      </c>
      <c r="Q11" s="86" t="s">
        <v>363</v>
      </c>
      <c r="R11" s="86" t="s">
        <v>363</v>
      </c>
      <c r="S11" s="86" t="s">
        <v>363</v>
      </c>
      <c r="T11" s="9">
        <v>3045</v>
      </c>
      <c r="U11" s="9">
        <v>6036</v>
      </c>
      <c r="V11" s="9">
        <v>8894</v>
      </c>
      <c r="AF11" s="9"/>
      <c r="AG11" s="9"/>
    </row>
    <row r="12" spans="1:33" ht="12.75">
      <c r="A12" s="59" t="s">
        <v>11</v>
      </c>
      <c r="B12" s="86" t="s">
        <v>363</v>
      </c>
      <c r="C12" s="86" t="s">
        <v>363</v>
      </c>
      <c r="D12" s="86" t="s">
        <v>363</v>
      </c>
      <c r="E12" s="86" t="s">
        <v>363</v>
      </c>
      <c r="F12" s="86" t="s">
        <v>363</v>
      </c>
      <c r="G12" s="86" t="s">
        <v>363</v>
      </c>
      <c r="H12" s="86" t="s">
        <v>363</v>
      </c>
      <c r="I12" s="86" t="s">
        <v>363</v>
      </c>
      <c r="J12" s="86" t="s">
        <v>363</v>
      </c>
      <c r="K12" s="86" t="s">
        <v>363</v>
      </c>
      <c r="L12" s="86" t="s">
        <v>363</v>
      </c>
      <c r="M12" s="86" t="s">
        <v>363</v>
      </c>
      <c r="N12" s="86" t="s">
        <v>363</v>
      </c>
      <c r="O12" s="86" t="s">
        <v>363</v>
      </c>
      <c r="P12" s="86" t="s">
        <v>363</v>
      </c>
      <c r="Q12" s="9">
        <v>957</v>
      </c>
      <c r="R12" s="9">
        <v>4518</v>
      </c>
      <c r="S12" s="9">
        <v>8190</v>
      </c>
      <c r="T12" s="9">
        <v>8685</v>
      </c>
      <c r="U12" s="9">
        <v>8624</v>
      </c>
      <c r="V12" s="9">
        <v>8572</v>
      </c>
      <c r="AF12" s="9"/>
      <c r="AG12" s="9"/>
    </row>
    <row r="13" spans="1:33" ht="12.75">
      <c r="A13" s="59" t="s">
        <v>12</v>
      </c>
      <c r="B13" s="86" t="s">
        <v>363</v>
      </c>
      <c r="C13" s="86" t="s">
        <v>363</v>
      </c>
      <c r="D13" s="86" t="s">
        <v>363</v>
      </c>
      <c r="E13" s="86" t="s">
        <v>363</v>
      </c>
      <c r="F13" s="86" t="s">
        <v>363</v>
      </c>
      <c r="G13" s="86" t="s">
        <v>363</v>
      </c>
      <c r="H13" s="86" t="s">
        <v>363</v>
      </c>
      <c r="I13" s="86" t="s">
        <v>363</v>
      </c>
      <c r="J13" s="86" t="s">
        <v>363</v>
      </c>
      <c r="K13" s="86" t="s">
        <v>363</v>
      </c>
      <c r="L13" s="86" t="s">
        <v>363</v>
      </c>
      <c r="M13" s="86" t="s">
        <v>363</v>
      </c>
      <c r="N13" s="86" t="s">
        <v>363</v>
      </c>
      <c r="O13" s="9">
        <v>2346</v>
      </c>
      <c r="P13" s="9">
        <v>5034</v>
      </c>
      <c r="Q13" s="9">
        <v>7452</v>
      </c>
      <c r="R13" s="9">
        <v>7030</v>
      </c>
      <c r="S13" s="9">
        <v>7025</v>
      </c>
      <c r="T13" s="9">
        <v>7031</v>
      </c>
      <c r="U13" s="9">
        <v>6928</v>
      </c>
      <c r="V13" s="9">
        <v>6946</v>
      </c>
      <c r="AF13" s="9"/>
      <c r="AG13" s="9"/>
    </row>
    <row r="14" spans="1:33" ht="12.75">
      <c r="A14" s="59" t="s">
        <v>13</v>
      </c>
      <c r="B14" s="86" t="s">
        <v>363</v>
      </c>
      <c r="C14" s="86" t="s">
        <v>363</v>
      </c>
      <c r="D14" s="86" t="s">
        <v>363</v>
      </c>
      <c r="E14" s="86" t="s">
        <v>363</v>
      </c>
      <c r="F14" s="86" t="s">
        <v>363</v>
      </c>
      <c r="G14" s="86" t="s">
        <v>363</v>
      </c>
      <c r="H14" s="86" t="s">
        <v>363</v>
      </c>
      <c r="I14" s="86" t="s">
        <v>363</v>
      </c>
      <c r="J14" s="86" t="s">
        <v>363</v>
      </c>
      <c r="K14" s="86" t="s">
        <v>363</v>
      </c>
      <c r="L14" s="9">
        <v>1488</v>
      </c>
      <c r="M14" s="9">
        <v>5246</v>
      </c>
      <c r="N14" s="9">
        <v>8891</v>
      </c>
      <c r="O14" s="9">
        <v>8794</v>
      </c>
      <c r="P14" s="9">
        <v>8714</v>
      </c>
      <c r="Q14" s="9">
        <v>8786</v>
      </c>
      <c r="R14" s="9">
        <v>8704</v>
      </c>
      <c r="S14" s="9">
        <v>8681</v>
      </c>
      <c r="T14" s="9">
        <v>8678</v>
      </c>
      <c r="U14" s="9">
        <v>8627</v>
      </c>
      <c r="V14" s="9">
        <v>8638</v>
      </c>
      <c r="AF14" s="9"/>
      <c r="AG14" s="9"/>
    </row>
    <row r="15" spans="1:33" ht="12.75">
      <c r="A15" s="59" t="s">
        <v>14</v>
      </c>
      <c r="B15" s="86" t="s">
        <v>363</v>
      </c>
      <c r="C15" s="86" t="s">
        <v>363</v>
      </c>
      <c r="D15" s="86" t="s">
        <v>363</v>
      </c>
      <c r="E15" s="86" t="s">
        <v>363</v>
      </c>
      <c r="F15" s="86" t="s">
        <v>363</v>
      </c>
      <c r="G15" s="86" t="s">
        <v>363</v>
      </c>
      <c r="H15" s="86" t="s">
        <v>363</v>
      </c>
      <c r="I15" s="14" t="s">
        <v>242</v>
      </c>
      <c r="J15" s="14" t="s">
        <v>242</v>
      </c>
      <c r="K15" s="14" t="s">
        <v>242</v>
      </c>
      <c r="L15" s="9">
        <v>8172</v>
      </c>
      <c r="M15" s="9">
        <v>8087</v>
      </c>
      <c r="N15" s="9">
        <v>7983</v>
      </c>
      <c r="O15" s="9">
        <v>8061</v>
      </c>
      <c r="P15" s="9">
        <v>7948</v>
      </c>
      <c r="Q15" s="9">
        <v>8000</v>
      </c>
      <c r="R15" s="9">
        <v>7536</v>
      </c>
      <c r="S15" s="9">
        <v>7415</v>
      </c>
      <c r="T15" s="9">
        <v>7467</v>
      </c>
      <c r="U15" s="9">
        <v>7365</v>
      </c>
      <c r="V15" s="9">
        <v>7241</v>
      </c>
      <c r="AF15" s="9"/>
      <c r="AG15" s="9"/>
    </row>
    <row r="16" spans="1:33" ht="12.75">
      <c r="A16" s="59" t="s">
        <v>15</v>
      </c>
      <c r="B16" s="86" t="s">
        <v>363</v>
      </c>
      <c r="C16" s="86" t="s">
        <v>363</v>
      </c>
      <c r="D16" s="14" t="s">
        <v>242</v>
      </c>
      <c r="E16" s="14" t="s">
        <v>242</v>
      </c>
      <c r="F16" s="14" t="s">
        <v>242</v>
      </c>
      <c r="G16" s="14" t="s">
        <v>242</v>
      </c>
      <c r="H16" s="14" t="s">
        <v>242</v>
      </c>
      <c r="I16" s="14" t="s">
        <v>242</v>
      </c>
      <c r="J16" s="14" t="s">
        <v>242</v>
      </c>
      <c r="K16" s="14" t="s">
        <v>242</v>
      </c>
      <c r="L16" s="9">
        <v>13981</v>
      </c>
      <c r="M16" s="9">
        <v>12485</v>
      </c>
      <c r="N16" s="9">
        <v>12486</v>
      </c>
      <c r="O16" s="9">
        <v>11834</v>
      </c>
      <c r="P16" s="9">
        <v>11542</v>
      </c>
      <c r="Q16" s="9">
        <v>11992</v>
      </c>
      <c r="R16" s="9">
        <v>11340</v>
      </c>
      <c r="S16" s="9">
        <v>11429</v>
      </c>
      <c r="T16" s="9">
        <v>11729</v>
      </c>
      <c r="U16" s="9">
        <v>11927</v>
      </c>
      <c r="V16" s="9">
        <v>13941</v>
      </c>
      <c r="AF16" s="9"/>
      <c r="AG16" s="9"/>
    </row>
    <row r="17" spans="1:33" ht="12.75">
      <c r="A17" s="59" t="s">
        <v>16</v>
      </c>
      <c r="B17" s="9">
        <v>7979</v>
      </c>
      <c r="C17" s="9">
        <v>9882</v>
      </c>
      <c r="D17" s="14" t="s">
        <v>242</v>
      </c>
      <c r="E17" s="14" t="s">
        <v>242</v>
      </c>
      <c r="F17" s="14" t="s">
        <v>242</v>
      </c>
      <c r="G17" s="14" t="s">
        <v>242</v>
      </c>
      <c r="H17" s="14" t="s">
        <v>242</v>
      </c>
      <c r="I17" s="14" t="s">
        <v>242</v>
      </c>
      <c r="J17" s="14" t="s">
        <v>242</v>
      </c>
      <c r="K17" s="14" t="s">
        <v>242</v>
      </c>
      <c r="L17" s="9">
        <v>11520</v>
      </c>
      <c r="M17" s="9">
        <v>11592</v>
      </c>
      <c r="N17" s="9">
        <v>11396</v>
      </c>
      <c r="O17" s="9">
        <v>11074</v>
      </c>
      <c r="P17" s="9">
        <v>11073</v>
      </c>
      <c r="Q17" s="9">
        <v>10940</v>
      </c>
      <c r="R17" s="9">
        <v>11127</v>
      </c>
      <c r="S17" s="9">
        <v>11062</v>
      </c>
      <c r="T17" s="9">
        <v>11124</v>
      </c>
      <c r="U17" s="9">
        <v>10739</v>
      </c>
      <c r="V17" s="9">
        <v>10319</v>
      </c>
      <c r="AF17" s="9"/>
      <c r="AG17" s="9"/>
    </row>
    <row r="19" spans="1:33" ht="12.75">
      <c r="A19" t="s">
        <v>20</v>
      </c>
      <c r="B19" s="14" t="s">
        <v>242</v>
      </c>
      <c r="C19" s="14" t="s">
        <v>242</v>
      </c>
      <c r="D19" s="14" t="s">
        <v>242</v>
      </c>
      <c r="E19" s="14" t="s">
        <v>242</v>
      </c>
      <c r="F19" s="14" t="s">
        <v>242</v>
      </c>
      <c r="G19" s="14" t="s">
        <v>242</v>
      </c>
      <c r="H19" s="14" t="s">
        <v>242</v>
      </c>
      <c r="I19" s="14" t="s">
        <v>242</v>
      </c>
      <c r="J19" s="14" t="s">
        <v>242</v>
      </c>
      <c r="K19" s="14" t="s">
        <v>242</v>
      </c>
      <c r="L19" s="9">
        <v>6690</v>
      </c>
      <c r="M19" s="9">
        <v>6831</v>
      </c>
      <c r="N19" s="9">
        <v>6797</v>
      </c>
      <c r="O19" s="9">
        <v>6579</v>
      </c>
      <c r="P19" s="9">
        <v>6525</v>
      </c>
      <c r="Q19" s="9">
        <v>6320</v>
      </c>
      <c r="R19" s="9">
        <v>6526</v>
      </c>
      <c r="S19" s="9">
        <v>6384</v>
      </c>
      <c r="T19" s="9">
        <v>6405</v>
      </c>
      <c r="U19" s="9">
        <v>6180</v>
      </c>
      <c r="V19" s="9">
        <v>5826</v>
      </c>
      <c r="AF19" s="9"/>
      <c r="AG19" s="9"/>
    </row>
    <row r="20" spans="1:33" ht="12.75">
      <c r="A20" t="s">
        <v>21</v>
      </c>
      <c r="B20" s="14" t="s">
        <v>242</v>
      </c>
      <c r="C20" s="14" t="s">
        <v>242</v>
      </c>
      <c r="D20" s="14" t="s">
        <v>242</v>
      </c>
      <c r="E20" s="14" t="s">
        <v>242</v>
      </c>
      <c r="F20" s="14" t="s">
        <v>242</v>
      </c>
      <c r="G20" s="14" t="s">
        <v>242</v>
      </c>
      <c r="H20" s="14" t="s">
        <v>242</v>
      </c>
      <c r="I20" s="14" t="s">
        <v>242</v>
      </c>
      <c r="J20" s="14" t="s">
        <v>242</v>
      </c>
      <c r="K20" s="14" t="s">
        <v>242</v>
      </c>
      <c r="L20" s="9">
        <v>5967</v>
      </c>
      <c r="M20" s="9">
        <v>6023</v>
      </c>
      <c r="N20" s="9">
        <v>5826</v>
      </c>
      <c r="O20" s="9">
        <v>5601</v>
      </c>
      <c r="P20" s="9">
        <v>5579</v>
      </c>
      <c r="Q20" s="9">
        <v>5459</v>
      </c>
      <c r="R20" s="9">
        <v>5497</v>
      </c>
      <c r="S20" s="9">
        <v>5487</v>
      </c>
      <c r="T20" s="9">
        <v>5384</v>
      </c>
      <c r="U20" s="9">
        <v>5410</v>
      </c>
      <c r="V20" s="9">
        <v>5186</v>
      </c>
      <c r="AF20" s="9"/>
      <c r="AG20" s="9"/>
    </row>
    <row r="21" spans="1:33" ht="12.75">
      <c r="A21" s="59" t="s">
        <v>22</v>
      </c>
      <c r="B21" s="14" t="s">
        <v>242</v>
      </c>
      <c r="C21" s="14" t="s">
        <v>242</v>
      </c>
      <c r="D21" s="14" t="s">
        <v>242</v>
      </c>
      <c r="E21" s="14" t="s">
        <v>242</v>
      </c>
      <c r="F21" s="14" t="s">
        <v>242</v>
      </c>
      <c r="G21" s="14" t="s">
        <v>242</v>
      </c>
      <c r="H21" s="14" t="s">
        <v>242</v>
      </c>
      <c r="I21" s="14" t="s">
        <v>242</v>
      </c>
      <c r="J21" s="14" t="s">
        <v>242</v>
      </c>
      <c r="K21" s="14" t="s">
        <v>242</v>
      </c>
      <c r="L21" s="9">
        <v>10822</v>
      </c>
      <c r="M21" s="9">
        <v>10674</v>
      </c>
      <c r="N21" s="9">
        <v>10651</v>
      </c>
      <c r="O21" s="9">
        <v>10084</v>
      </c>
      <c r="P21" s="9">
        <v>10071</v>
      </c>
      <c r="Q21" s="9">
        <v>9792</v>
      </c>
      <c r="R21" s="9">
        <v>9861</v>
      </c>
      <c r="S21" s="9">
        <v>9929</v>
      </c>
      <c r="T21" s="9">
        <v>9622</v>
      </c>
      <c r="U21" s="9">
        <v>9423</v>
      </c>
      <c r="V21" s="9">
        <v>9076</v>
      </c>
      <c r="AF21" s="9"/>
      <c r="AG21" s="9"/>
    </row>
    <row r="23" spans="12:22" ht="12.75"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N25"/>
  <sheetViews>
    <sheetView workbookViewId="0" topLeftCell="C1">
      <selection activeCell="L1" sqref="L1:V21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spans="1:22" ht="12.75">
      <c r="A3" s="2" t="s">
        <v>345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</row>
    <row r="4" spans="1:40" ht="12.75">
      <c r="A4" s="3" t="s">
        <v>362</v>
      </c>
      <c r="B4" s="61">
        <v>0.10597266678177254</v>
      </c>
      <c r="C4" s="61">
        <v>0.1302216482618665</v>
      </c>
      <c r="D4" s="61">
        <v>0.14457209908062874</v>
      </c>
      <c r="E4" s="61">
        <v>0.15750920369156285</v>
      </c>
      <c r="F4" s="61">
        <v>0.1803731602160662</v>
      </c>
      <c r="G4" s="61">
        <v>0.1974696075235715</v>
      </c>
      <c r="H4" s="61">
        <v>0.2145272267278273</v>
      </c>
      <c r="I4" s="61">
        <v>0.2294127220310611</v>
      </c>
      <c r="J4" s="61">
        <v>0.2404307554960384</v>
      </c>
      <c r="K4" s="61">
        <v>0.25836923916007637</v>
      </c>
      <c r="L4" s="31">
        <v>0.3634249449606714</v>
      </c>
      <c r="M4" s="31">
        <v>0.37479336773030103</v>
      </c>
      <c r="N4" s="31">
        <v>0.39656547966530453</v>
      </c>
      <c r="O4" s="31">
        <v>0.4133845126835781</v>
      </c>
      <c r="P4" s="31">
        <v>0.4280346206603427</v>
      </c>
      <c r="Q4" s="31">
        <v>0.45230867550726955</v>
      </c>
      <c r="R4" s="31">
        <v>0.4602485552838604</v>
      </c>
      <c r="S4" s="31">
        <v>0.47912585046129735</v>
      </c>
      <c r="T4" s="31">
        <v>0.4977593546941519</v>
      </c>
      <c r="U4" s="31">
        <v>0.5139961266434038</v>
      </c>
      <c r="V4" s="31">
        <v>0.5432084425712674</v>
      </c>
      <c r="AM4" s="9"/>
      <c r="AN4" s="9"/>
    </row>
    <row r="5" spans="1:40" ht="12.75">
      <c r="A5" s="2" t="s">
        <v>17</v>
      </c>
      <c r="B5" s="61">
        <v>0.24024809743269626</v>
      </c>
      <c r="C5" s="61">
        <v>0.22614184434546555</v>
      </c>
      <c r="D5" s="61">
        <v>0.23069384807808854</v>
      </c>
      <c r="E5" s="61">
        <v>0.2228301981945635</v>
      </c>
      <c r="F5" s="61">
        <v>0.21621487685217305</v>
      </c>
      <c r="G5" s="61">
        <v>0.2112322383591081</v>
      </c>
      <c r="H5" s="61">
        <v>0.2079776795214338</v>
      </c>
      <c r="I5" s="61">
        <v>0.20487305868129824</v>
      </c>
      <c r="J5" s="61">
        <v>0.2007923222854592</v>
      </c>
      <c r="K5" s="61">
        <v>0.19791655304063266</v>
      </c>
      <c r="L5" s="61">
        <v>0.16563478692286226</v>
      </c>
      <c r="M5" s="61">
        <v>0.16326203476431397</v>
      </c>
      <c r="N5" s="61">
        <v>0.15855224751897257</v>
      </c>
      <c r="O5" s="61">
        <v>0.15405835231288778</v>
      </c>
      <c r="P5" s="61">
        <v>0.1500357411951083</v>
      </c>
      <c r="Q5" s="61">
        <v>0.14411247803163443</v>
      </c>
      <c r="R5" s="61">
        <v>0.1418065591486478</v>
      </c>
      <c r="S5" s="61">
        <v>0.13674170911552025</v>
      </c>
      <c r="T5" s="61">
        <v>0.13286164877023043</v>
      </c>
      <c r="U5" s="61">
        <v>0.1279914001245617</v>
      </c>
      <c r="V5" s="61">
        <v>0.1220090930209405</v>
      </c>
      <c r="AM5" s="9"/>
      <c r="AN5" s="9"/>
    </row>
    <row r="6" spans="1:40" ht="12.75">
      <c r="A6" s="2" t="s">
        <v>18</v>
      </c>
      <c r="B6" s="61">
        <v>0.17993704594052568</v>
      </c>
      <c r="C6" s="61">
        <v>0.17957198956329232</v>
      </c>
      <c r="D6" s="61">
        <v>0.17536394465720218</v>
      </c>
      <c r="E6" s="61">
        <v>0.17449190579454335</v>
      </c>
      <c r="F6" s="61">
        <v>0.17056097923583924</v>
      </c>
      <c r="G6" s="61">
        <v>0.16714352975263483</v>
      </c>
      <c r="H6" s="61">
        <v>0.16529922209349066</v>
      </c>
      <c r="I6" s="61">
        <v>0.16324514089091416</v>
      </c>
      <c r="J6" s="61">
        <v>0.16062939404084364</v>
      </c>
      <c r="K6" s="61">
        <v>0.156323970548132</v>
      </c>
      <c r="L6" s="61">
        <v>0.1401358153572647</v>
      </c>
      <c r="M6" s="61">
        <v>0.13907729299203528</v>
      </c>
      <c r="N6" s="61">
        <v>0.13489978595057403</v>
      </c>
      <c r="O6" s="61">
        <v>0.1317050184559805</v>
      </c>
      <c r="P6" s="61">
        <v>0.12776994262089217</v>
      </c>
      <c r="Q6" s="61">
        <v>0.12403785607548659</v>
      </c>
      <c r="R6" s="61">
        <v>0.12283063622459726</v>
      </c>
      <c r="S6" s="61">
        <v>0.1176664410643679</v>
      </c>
      <c r="T6" s="61">
        <v>0.11559144418207828</v>
      </c>
      <c r="U6" s="61">
        <v>0.1111926355034937</v>
      </c>
      <c r="V6" s="61">
        <v>0.10484352703016626</v>
      </c>
      <c r="AM6" s="9"/>
      <c r="AN6" s="9"/>
    </row>
    <row r="7" spans="1:40" ht="12.75">
      <c r="A7" s="2" t="s">
        <v>19</v>
      </c>
      <c r="B7" s="61">
        <v>0.10753987754505731</v>
      </c>
      <c r="C7" s="61">
        <v>0.10569802071528345</v>
      </c>
      <c r="D7" s="61">
        <v>0.10282000696298016</v>
      </c>
      <c r="E7" s="61">
        <v>0.10216097634777346</v>
      </c>
      <c r="F7" s="61">
        <v>0.09902621537241688</v>
      </c>
      <c r="G7" s="61">
        <v>0.09666437289486074</v>
      </c>
      <c r="H7" s="61">
        <v>0.09414087437637435</v>
      </c>
      <c r="I7" s="61">
        <v>0.09235794661954803</v>
      </c>
      <c r="J7" s="61">
        <v>0.09034705947996875</v>
      </c>
      <c r="K7" s="61">
        <v>0.08836651213526044</v>
      </c>
      <c r="L7" s="61">
        <v>0.08810426981157428</v>
      </c>
      <c r="M7" s="61">
        <v>0.08714121124079548</v>
      </c>
      <c r="N7" s="61">
        <v>0.08353765323992995</v>
      </c>
      <c r="O7" s="61">
        <v>0.08227636849132176</v>
      </c>
      <c r="P7" s="61">
        <v>0.07994435965302062</v>
      </c>
      <c r="Q7" s="61">
        <v>0.07680234579852072</v>
      </c>
      <c r="R7" s="61">
        <v>0.07468564258959072</v>
      </c>
      <c r="S7" s="61">
        <v>0.0723292843657607</v>
      </c>
      <c r="T7" s="61">
        <v>0.06927041141694962</v>
      </c>
      <c r="U7" s="61">
        <v>0.06752779176015902</v>
      </c>
      <c r="V7" s="61">
        <v>0.06326950519364152</v>
      </c>
      <c r="AM7" s="9"/>
      <c r="AN7" s="9"/>
    </row>
    <row r="8" spans="1:40" ht="12.75">
      <c r="A8" s="3" t="s">
        <v>139</v>
      </c>
      <c r="B8" s="61">
        <v>0.36631559374709466</v>
      </c>
      <c r="C8" s="61">
        <v>0.35835331945286353</v>
      </c>
      <c r="D8" s="61">
        <v>0.3465629956287958</v>
      </c>
      <c r="E8" s="61">
        <v>0.3430077159715568</v>
      </c>
      <c r="F8" s="61">
        <v>0.3338247683235046</v>
      </c>
      <c r="G8" s="61">
        <v>0.32749025146982486</v>
      </c>
      <c r="H8" s="61">
        <v>0.31806681956825006</v>
      </c>
      <c r="I8" s="61">
        <v>0.3101111317771785</v>
      </c>
      <c r="J8" s="61">
        <v>0.30780046869769</v>
      </c>
      <c r="K8" s="61">
        <v>0.29902372511589853</v>
      </c>
      <c r="L8" s="61">
        <v>0.24267951089933745</v>
      </c>
      <c r="M8" s="61">
        <v>0.23571607473826578</v>
      </c>
      <c r="N8" s="61">
        <v>0.22644483362521892</v>
      </c>
      <c r="O8" s="61">
        <v>0.21856593104531533</v>
      </c>
      <c r="P8" s="61">
        <v>0.2142056760881745</v>
      </c>
      <c r="Q8" s="61">
        <v>0.20272924635583583</v>
      </c>
      <c r="R8" s="61">
        <v>0.20041944848934437</v>
      </c>
      <c r="S8" s="61">
        <v>0.19413671499305382</v>
      </c>
      <c r="T8" s="61">
        <v>0.18451714093658975</v>
      </c>
      <c r="U8" s="61">
        <v>0.1792749827234645</v>
      </c>
      <c r="V8" s="61">
        <v>0.16666113563203133</v>
      </c>
      <c r="AM8" s="9"/>
      <c r="AN8" s="9"/>
    </row>
    <row r="9" spans="1:22" ht="12.75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10"/>
      <c r="T9" s="10"/>
      <c r="U9" s="10"/>
      <c r="V9" s="10"/>
    </row>
    <row r="10" spans="1:40" ht="12.75">
      <c r="A10" s="3" t="s">
        <v>77</v>
      </c>
      <c r="B10" s="87" t="s">
        <v>363</v>
      </c>
      <c r="C10" s="87" t="s">
        <v>363</v>
      </c>
      <c r="D10" s="87" t="s">
        <v>363</v>
      </c>
      <c r="E10" s="87" t="s">
        <v>363</v>
      </c>
      <c r="F10" s="87" t="s">
        <v>363</v>
      </c>
      <c r="G10" s="87" t="s">
        <v>363</v>
      </c>
      <c r="H10" s="87" t="s">
        <v>363</v>
      </c>
      <c r="I10" s="87" t="s">
        <v>363</v>
      </c>
      <c r="J10" s="87" t="s">
        <v>363</v>
      </c>
      <c r="K10" s="87" t="s">
        <v>363</v>
      </c>
      <c r="L10" s="87" t="s">
        <v>363</v>
      </c>
      <c r="M10" s="87" t="s">
        <v>363</v>
      </c>
      <c r="N10" s="87" t="s">
        <v>363</v>
      </c>
      <c r="O10" s="87" t="s">
        <v>363</v>
      </c>
      <c r="P10" s="87" t="s">
        <v>363</v>
      </c>
      <c r="Q10" s="87" t="s">
        <v>363</v>
      </c>
      <c r="R10" s="87" t="s">
        <v>363</v>
      </c>
      <c r="S10" s="87" t="s">
        <v>363</v>
      </c>
      <c r="T10" s="87" t="s">
        <v>363</v>
      </c>
      <c r="U10" s="87" t="s">
        <v>363</v>
      </c>
      <c r="V10" s="31">
        <v>0.007657717452626688</v>
      </c>
      <c r="AM10" s="9"/>
      <c r="AN10" s="9"/>
    </row>
    <row r="11" spans="1:40" ht="12.75">
      <c r="A11" s="2" t="s">
        <v>10</v>
      </c>
      <c r="B11" s="87" t="s">
        <v>363</v>
      </c>
      <c r="C11" s="87" t="s">
        <v>363</v>
      </c>
      <c r="D11" s="87" t="s">
        <v>363</v>
      </c>
      <c r="E11" s="87" t="s">
        <v>363</v>
      </c>
      <c r="F11" s="87" t="s">
        <v>363</v>
      </c>
      <c r="G11" s="87" t="s">
        <v>363</v>
      </c>
      <c r="H11" s="87" t="s">
        <v>363</v>
      </c>
      <c r="I11" s="87" t="s">
        <v>363</v>
      </c>
      <c r="J11" s="87" t="s">
        <v>363</v>
      </c>
      <c r="K11" s="87" t="s">
        <v>363</v>
      </c>
      <c r="L11" s="87" t="s">
        <v>363</v>
      </c>
      <c r="M11" s="87" t="s">
        <v>363</v>
      </c>
      <c r="N11" s="87" t="s">
        <v>363</v>
      </c>
      <c r="O11" s="87" t="s">
        <v>363</v>
      </c>
      <c r="P11" s="87" t="s">
        <v>363</v>
      </c>
      <c r="Q11" s="87" t="s">
        <v>363</v>
      </c>
      <c r="R11" s="87" t="s">
        <v>363</v>
      </c>
      <c r="S11" s="87" t="s">
        <v>363</v>
      </c>
      <c r="T11" s="31">
        <v>0.026241403678105447</v>
      </c>
      <c r="U11" s="31">
        <v>0.051496873160368904</v>
      </c>
      <c r="V11" s="31">
        <v>0.07378953307005609</v>
      </c>
      <c r="AM11" s="9"/>
      <c r="AN11" s="9"/>
    </row>
    <row r="12" spans="1:40" ht="12.75">
      <c r="A12" s="2" t="s">
        <v>11</v>
      </c>
      <c r="B12" s="87" t="s">
        <v>363</v>
      </c>
      <c r="C12" s="87" t="s">
        <v>363</v>
      </c>
      <c r="D12" s="87" t="s">
        <v>363</v>
      </c>
      <c r="E12" s="87" t="s">
        <v>363</v>
      </c>
      <c r="F12" s="87" t="s">
        <v>363</v>
      </c>
      <c r="G12" s="87" t="s">
        <v>363</v>
      </c>
      <c r="H12" s="87" t="s">
        <v>363</v>
      </c>
      <c r="I12" s="87" t="s">
        <v>363</v>
      </c>
      <c r="J12" s="87" t="s">
        <v>363</v>
      </c>
      <c r="K12" s="87" t="s">
        <v>363</v>
      </c>
      <c r="L12" s="87" t="s">
        <v>363</v>
      </c>
      <c r="M12" s="87" t="s">
        <v>363</v>
      </c>
      <c r="N12" s="87" t="s">
        <v>363</v>
      </c>
      <c r="O12" s="87" t="s">
        <v>363</v>
      </c>
      <c r="P12" s="87" t="s">
        <v>363</v>
      </c>
      <c r="Q12" s="31">
        <v>0.008994107309004445</v>
      </c>
      <c r="R12" s="31">
        <v>0.04137703656894799</v>
      </c>
      <c r="S12" s="31">
        <v>0.07293484843087664</v>
      </c>
      <c r="T12" s="31">
        <v>0.07484617108188697</v>
      </c>
      <c r="U12" s="31">
        <v>0.07357671208333688</v>
      </c>
      <c r="V12" s="31">
        <v>0.0711180433411874</v>
      </c>
      <c r="AM12" s="9"/>
      <c r="AN12" s="9"/>
    </row>
    <row r="13" spans="1:40" ht="12.75">
      <c r="A13" s="2" t="s">
        <v>12</v>
      </c>
      <c r="B13" s="87" t="s">
        <v>363</v>
      </c>
      <c r="C13" s="87" t="s">
        <v>363</v>
      </c>
      <c r="D13" s="87" t="s">
        <v>363</v>
      </c>
      <c r="E13" s="87" t="s">
        <v>363</v>
      </c>
      <c r="F13" s="87" t="s">
        <v>363</v>
      </c>
      <c r="G13" s="87" t="s">
        <v>363</v>
      </c>
      <c r="H13" s="87" t="s">
        <v>363</v>
      </c>
      <c r="I13" s="87" t="s">
        <v>363</v>
      </c>
      <c r="J13" s="87" t="s">
        <v>363</v>
      </c>
      <c r="K13" s="87" t="s">
        <v>363</v>
      </c>
      <c r="L13" s="87" t="s">
        <v>363</v>
      </c>
      <c r="M13" s="87" t="s">
        <v>363</v>
      </c>
      <c r="N13" s="87" t="s">
        <v>363</v>
      </c>
      <c r="O13" s="31">
        <v>0.02303070761014686</v>
      </c>
      <c r="P13" s="31">
        <v>0.048627344912192574</v>
      </c>
      <c r="Q13" s="31">
        <v>0.07003561929644841</v>
      </c>
      <c r="R13" s="31">
        <v>0.0643825956351714</v>
      </c>
      <c r="S13" s="31">
        <v>0.06256011113881665</v>
      </c>
      <c r="T13" s="31">
        <v>0.06059221979006877</v>
      </c>
      <c r="U13" s="31">
        <v>0.05910708039347843</v>
      </c>
      <c r="V13" s="31">
        <v>0.05762784986559586</v>
      </c>
      <c r="AM13" s="9"/>
      <c r="AN13" s="9"/>
    </row>
    <row r="14" spans="1:40" ht="12.75">
      <c r="A14" s="2" t="s">
        <v>13</v>
      </c>
      <c r="B14" s="87" t="s">
        <v>363</v>
      </c>
      <c r="C14" s="87" t="s">
        <v>363</v>
      </c>
      <c r="D14" s="87" t="s">
        <v>363</v>
      </c>
      <c r="E14" s="87" t="s">
        <v>363</v>
      </c>
      <c r="F14" s="87" t="s">
        <v>363</v>
      </c>
      <c r="G14" s="87" t="s">
        <v>363</v>
      </c>
      <c r="H14" s="87" t="s">
        <v>363</v>
      </c>
      <c r="I14" s="87" t="s">
        <v>363</v>
      </c>
      <c r="J14" s="87" t="s">
        <v>363</v>
      </c>
      <c r="K14" s="87" t="s">
        <v>363</v>
      </c>
      <c r="L14" s="31">
        <v>0.015380003927689175</v>
      </c>
      <c r="M14" s="31">
        <v>0.052557230877122676</v>
      </c>
      <c r="N14" s="31">
        <v>0.08650515664526172</v>
      </c>
      <c r="O14" s="31">
        <v>0.08633079399984293</v>
      </c>
      <c r="P14" s="31">
        <v>0.08417534437124476</v>
      </c>
      <c r="Q14" s="31">
        <v>0.08257285978778794</v>
      </c>
      <c r="R14" s="31">
        <v>0.07971352950334734</v>
      </c>
      <c r="S14" s="31">
        <v>0.07730737719516974</v>
      </c>
      <c r="T14" s="31">
        <v>0.07478584601596029</v>
      </c>
      <c r="U14" s="31">
        <v>0.07360230695071282</v>
      </c>
      <c r="V14" s="31">
        <v>0.07166561577008596</v>
      </c>
      <c r="AM14" s="9"/>
      <c r="AN14" s="9"/>
    </row>
    <row r="15" spans="1:40" ht="12.75">
      <c r="A15" s="2" t="s">
        <v>14</v>
      </c>
      <c r="B15" s="87" t="s">
        <v>363</v>
      </c>
      <c r="C15" s="87" t="s">
        <v>363</v>
      </c>
      <c r="D15" s="87" t="s">
        <v>363</v>
      </c>
      <c r="E15" s="87" t="s">
        <v>363</v>
      </c>
      <c r="F15" s="87" t="s">
        <v>363</v>
      </c>
      <c r="G15" s="87" t="s">
        <v>363</v>
      </c>
      <c r="H15" s="87" t="s">
        <v>363</v>
      </c>
      <c r="I15" s="14" t="s">
        <v>242</v>
      </c>
      <c r="J15" s="14" t="s">
        <v>242</v>
      </c>
      <c r="K15" s="14" t="s">
        <v>242</v>
      </c>
      <c r="L15" s="31">
        <v>0.08446598931255103</v>
      </c>
      <c r="M15" s="31">
        <v>0.08101988679056255</v>
      </c>
      <c r="N15" s="31">
        <v>0.07767075306479859</v>
      </c>
      <c r="O15" s="31">
        <v>0.0791349249980366</v>
      </c>
      <c r="P15" s="31">
        <v>0.07677595100558335</v>
      </c>
      <c r="Q15" s="31">
        <v>0.07518585002302566</v>
      </c>
      <c r="R15" s="31">
        <v>0.06901667719867022</v>
      </c>
      <c r="S15" s="31">
        <v>0.06603319915933459</v>
      </c>
      <c r="T15" s="31">
        <v>0.06434960961064479</v>
      </c>
      <c r="U15" s="31">
        <v>0.0628353994079054</v>
      </c>
      <c r="V15" s="31">
        <v>0.06007533269173332</v>
      </c>
      <c r="AM15" s="9"/>
      <c r="AN15" s="9"/>
    </row>
    <row r="16" spans="1:40" ht="12.75">
      <c r="A16" s="2" t="s">
        <v>15</v>
      </c>
      <c r="B16" s="87" t="s">
        <v>363</v>
      </c>
      <c r="C16" s="87" t="s">
        <v>363</v>
      </c>
      <c r="D16" s="14" t="s">
        <v>242</v>
      </c>
      <c r="E16" s="14" t="s">
        <v>242</v>
      </c>
      <c r="F16" s="14" t="s">
        <v>242</v>
      </c>
      <c r="G16" s="14" t="s">
        <v>242</v>
      </c>
      <c r="H16" s="14" t="s">
        <v>242</v>
      </c>
      <c r="I16" s="14" t="s">
        <v>242</v>
      </c>
      <c r="J16" s="14" t="s">
        <v>242</v>
      </c>
      <c r="K16" s="14" t="s">
        <v>242</v>
      </c>
      <c r="L16" s="31">
        <v>0.14450795357057955</v>
      </c>
      <c r="M16" s="31">
        <v>0.12508140059109352</v>
      </c>
      <c r="N16" s="31">
        <v>0.12148277875072971</v>
      </c>
      <c r="O16" s="31">
        <v>0.11617450718605199</v>
      </c>
      <c r="P16" s="31">
        <v>0.11149320917292943</v>
      </c>
      <c r="Q16" s="31">
        <v>0.11270358918451548</v>
      </c>
      <c r="R16" s="31">
        <v>0.10385471330054674</v>
      </c>
      <c r="S16" s="31">
        <v>0.10177928970897303</v>
      </c>
      <c r="T16" s="31">
        <v>0.10107895689343147</v>
      </c>
      <c r="U16" s="31">
        <v>0.10175666106423459</v>
      </c>
      <c r="V16" s="31">
        <v>0.11566223077688913</v>
      </c>
      <c r="AM16" s="9"/>
      <c r="AN16" s="9"/>
    </row>
    <row r="17" spans="1:40" ht="12.75">
      <c r="A17" s="2" t="s">
        <v>16</v>
      </c>
      <c r="B17" s="31">
        <v>0.10597266678177254</v>
      </c>
      <c r="C17" s="31">
        <v>0.1302216482618665</v>
      </c>
      <c r="D17" s="14" t="s">
        <v>242</v>
      </c>
      <c r="E17" s="14" t="s">
        <v>242</v>
      </c>
      <c r="F17" s="14" t="s">
        <v>242</v>
      </c>
      <c r="G17" s="14" t="s">
        <v>242</v>
      </c>
      <c r="H17" s="14" t="s">
        <v>242</v>
      </c>
      <c r="I17" s="14" t="s">
        <v>242</v>
      </c>
      <c r="J17" s="14" t="s">
        <v>242</v>
      </c>
      <c r="K17" s="14" t="s">
        <v>242</v>
      </c>
      <c r="L17" s="31">
        <v>0.11907099814985168</v>
      </c>
      <c r="M17" s="31">
        <v>0.11613484947152232</v>
      </c>
      <c r="N17" s="31">
        <v>0.11087760264642926</v>
      </c>
      <c r="O17" s="31">
        <v>0.10871357888949973</v>
      </c>
      <c r="P17" s="31">
        <v>0.1069627711983926</v>
      </c>
      <c r="Q17" s="31">
        <v>0.1028166499064876</v>
      </c>
      <c r="R17" s="31">
        <v>0.10190400307717669</v>
      </c>
      <c r="S17" s="31">
        <v>0.09851102482812667</v>
      </c>
      <c r="T17" s="31">
        <v>0.0958651476240542</v>
      </c>
      <c r="U17" s="31">
        <v>0.09162109358336674</v>
      </c>
      <c r="V17" s="31">
        <v>0.08561211960309295</v>
      </c>
      <c r="AM17" s="9"/>
      <c r="AN17" s="9"/>
    </row>
    <row r="18" spans="1:40" ht="12.75">
      <c r="A18" s="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AM18" s="9"/>
      <c r="AN18" s="9"/>
    </row>
    <row r="19" spans="1:33" ht="12.75">
      <c r="A19" s="5" t="s">
        <v>20</v>
      </c>
      <c r="B19" s="14" t="s">
        <v>242</v>
      </c>
      <c r="C19" s="14" t="s">
        <v>242</v>
      </c>
      <c r="D19" s="14" t="s">
        <v>242</v>
      </c>
      <c r="E19" s="14" t="s">
        <v>242</v>
      </c>
      <c r="F19" s="14" t="s">
        <v>242</v>
      </c>
      <c r="G19" s="14" t="s">
        <v>242</v>
      </c>
      <c r="H19" s="14" t="s">
        <v>242</v>
      </c>
      <c r="I19" s="14" t="s">
        <v>242</v>
      </c>
      <c r="J19" s="14" t="s">
        <v>242</v>
      </c>
      <c r="K19" s="14" t="s">
        <v>242</v>
      </c>
      <c r="L19" s="31">
        <v>0.06914800152973158</v>
      </c>
      <c r="M19" s="31">
        <v>0.06843660772428993</v>
      </c>
      <c r="N19" s="31">
        <v>0.06613154310177077</v>
      </c>
      <c r="O19" s="31">
        <v>0.06458611481975968</v>
      </c>
      <c r="P19" s="31">
        <v>0.06303008056258573</v>
      </c>
      <c r="Q19" s="31">
        <v>0.05939682151819028</v>
      </c>
      <c r="R19" s="31">
        <v>0.05976683059959154</v>
      </c>
      <c r="S19" s="31">
        <v>0.05685177928970897</v>
      </c>
      <c r="T19" s="31">
        <v>0.05519743532291146</v>
      </c>
      <c r="U19" s="31">
        <v>0.05272542679441349</v>
      </c>
      <c r="V19" s="31">
        <v>0.04833571167822653</v>
      </c>
      <c r="AF19" s="9"/>
      <c r="AG19" s="9"/>
    </row>
    <row r="20" spans="1:33" ht="12.75">
      <c r="A20" s="5" t="s">
        <v>21</v>
      </c>
      <c r="B20" s="14" t="s">
        <v>242</v>
      </c>
      <c r="C20" s="14" t="s">
        <v>242</v>
      </c>
      <c r="D20" s="14" t="s">
        <v>242</v>
      </c>
      <c r="E20" s="14" t="s">
        <v>242</v>
      </c>
      <c r="F20" s="14" t="s">
        <v>242</v>
      </c>
      <c r="G20" s="14" t="s">
        <v>242</v>
      </c>
      <c r="H20" s="14" t="s">
        <v>242</v>
      </c>
      <c r="I20" s="14" t="s">
        <v>242</v>
      </c>
      <c r="J20" s="14" t="s">
        <v>242</v>
      </c>
      <c r="K20" s="14" t="s">
        <v>242</v>
      </c>
      <c r="L20" s="31">
        <v>0.06167505607293099</v>
      </c>
      <c r="M20" s="31">
        <v>0.060341632019235585</v>
      </c>
      <c r="N20" s="31">
        <v>0.056684179801517805</v>
      </c>
      <c r="O20" s="31">
        <v>0.0549850781434069</v>
      </c>
      <c r="P20" s="31">
        <v>0.05389192635381851</v>
      </c>
      <c r="Q20" s="31">
        <v>0.051304944409462136</v>
      </c>
      <c r="R20" s="31">
        <v>0.05034297698528267</v>
      </c>
      <c r="S20" s="31">
        <v>0.048863676842517724</v>
      </c>
      <c r="T20" s="31">
        <v>0.046398593564177255</v>
      </c>
      <c r="U20" s="31">
        <v>0.04615607750125841</v>
      </c>
      <c r="V20" s="31">
        <v>0.043025918428301196</v>
      </c>
      <c r="AF20" s="9"/>
      <c r="AG20" s="9"/>
    </row>
    <row r="21" spans="1:33" ht="12.75">
      <c r="A21" s="2" t="s">
        <v>22</v>
      </c>
      <c r="B21" s="14" t="s">
        <v>242</v>
      </c>
      <c r="C21" s="14" t="s">
        <v>242</v>
      </c>
      <c r="D21" s="14" t="s">
        <v>242</v>
      </c>
      <c r="E21" s="14" t="s">
        <v>242</v>
      </c>
      <c r="F21" s="14" t="s">
        <v>242</v>
      </c>
      <c r="G21" s="14" t="s">
        <v>242</v>
      </c>
      <c r="H21" s="14" t="s">
        <v>242</v>
      </c>
      <c r="I21" s="14" t="s">
        <v>242</v>
      </c>
      <c r="J21" s="14" t="s">
        <v>242</v>
      </c>
      <c r="K21" s="14" t="s">
        <v>242</v>
      </c>
      <c r="L21" s="31">
        <v>0.1118564532966749</v>
      </c>
      <c r="M21" s="31">
        <v>0.10693783499474027</v>
      </c>
      <c r="N21" s="31">
        <v>0.10362911072193033</v>
      </c>
      <c r="O21" s="31">
        <v>0.09899473808214874</v>
      </c>
      <c r="P21" s="31">
        <v>0.09728366917177025</v>
      </c>
      <c r="Q21" s="31">
        <v>0.09202748042818341</v>
      </c>
      <c r="R21" s="31">
        <v>0.09030964090447015</v>
      </c>
      <c r="S21" s="31">
        <v>0.08842125886082713</v>
      </c>
      <c r="T21" s="31">
        <v>0.08292111204950102</v>
      </c>
      <c r="U21" s="31">
        <v>0.08039347842779261</v>
      </c>
      <c r="V21" s="31">
        <v>0.0752995055255036</v>
      </c>
      <c r="AF21" s="9"/>
      <c r="AG21" s="9"/>
    </row>
    <row r="23" spans="2:22" ht="12.75">
      <c r="B23" s="59">
        <f>SUM(B4:B8)</f>
        <v>1.0000132814471465</v>
      </c>
      <c r="C23" s="59">
        <f aca="true" t="shared" si="0" ref="C23:V23">SUM(C4:C8)</f>
        <v>0.9999868223387713</v>
      </c>
      <c r="D23" s="59">
        <f t="shared" si="0"/>
        <v>1.0000128944076954</v>
      </c>
      <c r="E23" s="59">
        <f t="shared" si="0"/>
        <v>1</v>
      </c>
      <c r="F23" s="59">
        <f t="shared" si="0"/>
        <v>0.9999999999999999</v>
      </c>
      <c r="G23" s="59">
        <f t="shared" si="0"/>
        <v>1</v>
      </c>
      <c r="H23" s="59">
        <f t="shared" si="0"/>
        <v>1.0000118222873762</v>
      </c>
      <c r="I23" s="59">
        <f t="shared" si="0"/>
        <v>1</v>
      </c>
      <c r="J23" s="59">
        <f t="shared" si="0"/>
        <v>1</v>
      </c>
      <c r="K23" s="59">
        <f t="shared" si="0"/>
        <v>1</v>
      </c>
      <c r="L23" s="59">
        <f t="shared" si="0"/>
        <v>0.9999793279517102</v>
      </c>
      <c r="M23" s="59">
        <f t="shared" si="0"/>
        <v>0.9999899814657116</v>
      </c>
      <c r="N23" s="59">
        <f t="shared" si="0"/>
        <v>1</v>
      </c>
      <c r="O23" s="59">
        <f t="shared" si="0"/>
        <v>0.9999901829890835</v>
      </c>
      <c r="P23" s="59">
        <f t="shared" si="0"/>
        <v>0.9999903402175383</v>
      </c>
      <c r="Q23" s="59">
        <f t="shared" si="0"/>
        <v>0.9999906017687472</v>
      </c>
      <c r="R23" s="59">
        <f t="shared" si="0"/>
        <v>0.9999908417360405</v>
      </c>
      <c r="S23" s="59">
        <f t="shared" si="0"/>
        <v>1</v>
      </c>
      <c r="T23" s="59">
        <f t="shared" si="0"/>
        <v>1</v>
      </c>
      <c r="U23" s="59">
        <f t="shared" si="0"/>
        <v>0.9999829367550827</v>
      </c>
      <c r="V23" s="59">
        <f t="shared" si="0"/>
        <v>0.9999917034480471</v>
      </c>
    </row>
    <row r="24" spans="12:22" ht="12.75">
      <c r="L24" s="59">
        <f>M4-SUM(M10:M17)</f>
        <v>0</v>
      </c>
      <c r="M24" s="59">
        <f aca="true" t="shared" si="1" ref="M24:V24">N4-SUM(N10:N17)</f>
        <v>2.9188558085258E-05</v>
      </c>
      <c r="N24" s="59">
        <f t="shared" si="1"/>
        <v>0</v>
      </c>
      <c r="O24" s="59">
        <f t="shared" si="1"/>
        <v>0</v>
      </c>
      <c r="P24" s="59">
        <f t="shared" si="1"/>
        <v>0</v>
      </c>
      <c r="Q24" s="59">
        <f t="shared" si="1"/>
        <v>0</v>
      </c>
      <c r="R24" s="59">
        <f t="shared" si="1"/>
        <v>0</v>
      </c>
      <c r="S24" s="59">
        <f t="shared" si="1"/>
        <v>0</v>
      </c>
      <c r="T24" s="59">
        <f t="shared" si="1"/>
        <v>0</v>
      </c>
      <c r="U24" s="59">
        <f t="shared" si="1"/>
        <v>0</v>
      </c>
      <c r="V24" s="59">
        <f t="shared" si="1"/>
        <v>0</v>
      </c>
    </row>
    <row r="25" spans="12:22" ht="12.75">
      <c r="L25" s="59">
        <f>L8-SUM(L19:L21)</f>
        <v>0</v>
      </c>
      <c r="M25" s="59">
        <f aca="true" t="shared" si="2" ref="M25:V25">M8-SUM(M19:M21)</f>
        <v>0</v>
      </c>
      <c r="N25" s="59">
        <f t="shared" si="2"/>
        <v>0</v>
      </c>
      <c r="O25" s="59">
        <f t="shared" si="2"/>
        <v>0</v>
      </c>
      <c r="P25" s="59">
        <f t="shared" si="2"/>
        <v>0</v>
      </c>
      <c r="Q25" s="59">
        <f t="shared" si="2"/>
        <v>0</v>
      </c>
      <c r="R25" s="59">
        <f t="shared" si="2"/>
        <v>0</v>
      </c>
      <c r="S25" s="59">
        <f t="shared" si="2"/>
        <v>0</v>
      </c>
      <c r="T25" s="59">
        <f t="shared" si="2"/>
        <v>0</v>
      </c>
      <c r="U25" s="59">
        <f t="shared" si="2"/>
        <v>0</v>
      </c>
      <c r="V25" s="59">
        <f t="shared" si="2"/>
        <v>0</v>
      </c>
    </row>
  </sheetData>
  <printOptions/>
  <pageMargins left="0.75" right="0.75" top="1" bottom="1" header="0.5" footer="0.5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F16"/>
  <sheetViews>
    <sheetView workbookViewId="0" topLeftCell="D1">
      <selection activeCell="L1" sqref="L1:V16"/>
    </sheetView>
  </sheetViews>
  <sheetFormatPr defaultColWidth="9.140625" defaultRowHeight="12.75"/>
  <cols>
    <col min="1" max="1" width="27.00390625" style="0" customWidth="1"/>
  </cols>
  <sheetData>
    <row r="1" spans="2:22" ht="12.75">
      <c r="B1" s="82">
        <v>1973</v>
      </c>
      <c r="C1" s="82">
        <v>1974</v>
      </c>
      <c r="D1" s="82">
        <v>1975</v>
      </c>
      <c r="E1" s="82">
        <v>1976</v>
      </c>
      <c r="F1" s="82">
        <v>1977</v>
      </c>
      <c r="G1" s="82">
        <v>1978</v>
      </c>
      <c r="H1" s="82">
        <v>1979</v>
      </c>
      <c r="I1" s="82">
        <v>1980</v>
      </c>
      <c r="J1" s="82">
        <v>1981</v>
      </c>
      <c r="K1" s="82">
        <v>1983</v>
      </c>
      <c r="L1" s="82">
        <v>1985</v>
      </c>
      <c r="M1" s="84">
        <v>1987</v>
      </c>
      <c r="N1" s="84">
        <v>1989</v>
      </c>
      <c r="O1" s="84">
        <v>1991</v>
      </c>
      <c r="P1" s="84">
        <v>1993</v>
      </c>
      <c r="Q1" s="84">
        <v>1995</v>
      </c>
      <c r="R1">
        <v>1997</v>
      </c>
      <c r="S1">
        <v>1999</v>
      </c>
      <c r="T1">
        <v>2001</v>
      </c>
      <c r="U1">
        <v>2003</v>
      </c>
      <c r="V1">
        <v>2005</v>
      </c>
    </row>
    <row r="2" spans="1:22" ht="12.75">
      <c r="A2" s="59" t="s">
        <v>342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59" t="s">
        <v>80</v>
      </c>
      <c r="B3" s="14" t="s">
        <v>242</v>
      </c>
      <c r="C3" s="14" t="s">
        <v>242</v>
      </c>
      <c r="D3" s="9">
        <v>366</v>
      </c>
      <c r="E3" s="9">
        <v>410</v>
      </c>
      <c r="F3" s="9">
        <v>350</v>
      </c>
      <c r="G3" s="9">
        <v>351</v>
      </c>
      <c r="H3" s="9">
        <v>346</v>
      </c>
      <c r="I3" s="9">
        <v>319</v>
      </c>
      <c r="J3" s="9">
        <v>422</v>
      </c>
      <c r="K3" s="9">
        <v>371</v>
      </c>
      <c r="L3" s="9">
        <v>527</v>
      </c>
      <c r="M3" s="9">
        <v>771</v>
      </c>
      <c r="N3" s="9">
        <v>624</v>
      </c>
      <c r="O3" s="9">
        <v>721</v>
      </c>
      <c r="P3" s="9">
        <v>839</v>
      </c>
      <c r="Q3" s="9">
        <v>748</v>
      </c>
      <c r="R3" s="9">
        <v>727</v>
      </c>
      <c r="S3" s="9">
        <v>665</v>
      </c>
      <c r="T3" s="9">
        <v>670</v>
      </c>
      <c r="U3" s="9">
        <v>634</v>
      </c>
      <c r="V3" s="9">
        <v>713</v>
      </c>
    </row>
    <row r="4" spans="1:22" ht="12.75">
      <c r="A4" s="59" t="s">
        <v>81</v>
      </c>
      <c r="B4" s="14" t="s">
        <v>242</v>
      </c>
      <c r="C4" s="14" t="s">
        <v>242</v>
      </c>
      <c r="D4" s="9">
        <v>621</v>
      </c>
      <c r="E4" s="9">
        <v>709</v>
      </c>
      <c r="F4" s="9">
        <v>723</v>
      </c>
      <c r="G4" s="9">
        <v>913</v>
      </c>
      <c r="H4" s="9">
        <v>1039</v>
      </c>
      <c r="I4" s="9">
        <v>1220</v>
      </c>
      <c r="J4" s="9">
        <v>1421</v>
      </c>
      <c r="K4" s="9">
        <v>1522</v>
      </c>
      <c r="L4" s="9">
        <v>3284</v>
      </c>
      <c r="M4" s="9">
        <v>3936</v>
      </c>
      <c r="N4" s="9">
        <v>4199</v>
      </c>
      <c r="O4" s="9">
        <v>4225</v>
      </c>
      <c r="P4" s="9">
        <v>4420</v>
      </c>
      <c r="Q4" s="9">
        <v>4677</v>
      </c>
      <c r="R4" s="9">
        <v>6423</v>
      </c>
      <c r="S4" s="9">
        <v>5273</v>
      </c>
      <c r="T4" s="9">
        <v>5602</v>
      </c>
      <c r="U4" s="9">
        <v>5589</v>
      </c>
      <c r="V4" s="9">
        <v>5975</v>
      </c>
    </row>
    <row r="6" spans="1:24" ht="12.75">
      <c r="A6" s="59" t="s">
        <v>344</v>
      </c>
      <c r="B6" s="5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32" ht="12.75">
      <c r="A7" s="59" t="s">
        <v>9</v>
      </c>
      <c r="B7" s="9">
        <v>3278</v>
      </c>
      <c r="C7" s="9">
        <v>3715</v>
      </c>
      <c r="D7" s="9">
        <v>3342</v>
      </c>
      <c r="E7" s="9">
        <v>3627</v>
      </c>
      <c r="F7" s="9">
        <v>3693</v>
      </c>
      <c r="G7" s="9">
        <v>3671</v>
      </c>
      <c r="H7" s="9">
        <v>3610</v>
      </c>
      <c r="I7" s="9">
        <v>3770</v>
      </c>
      <c r="J7" s="9">
        <v>3871</v>
      </c>
      <c r="K7" s="9">
        <v>3999</v>
      </c>
      <c r="L7" s="9">
        <v>5396</v>
      </c>
      <c r="M7" s="9">
        <v>6084</v>
      </c>
      <c r="N7" s="9">
        <v>6228</v>
      </c>
      <c r="O7" s="9">
        <v>6338</v>
      </c>
      <c r="P7" s="9">
        <v>6409</v>
      </c>
      <c r="Q7" s="9">
        <v>6886</v>
      </c>
      <c r="R7" s="9">
        <v>7572</v>
      </c>
      <c r="S7" s="9">
        <v>7784</v>
      </c>
      <c r="T7" s="9">
        <v>8249</v>
      </c>
      <c r="U7" s="9">
        <v>8142</v>
      </c>
      <c r="V7" s="9">
        <v>7986</v>
      </c>
      <c r="AF7" s="9"/>
    </row>
    <row r="8" spans="1:32" ht="12.75">
      <c r="A8" s="59" t="s">
        <v>2</v>
      </c>
      <c r="B8" s="9">
        <v>47953</v>
      </c>
      <c r="C8" s="9">
        <v>48235</v>
      </c>
      <c r="D8" s="9">
        <v>49489</v>
      </c>
      <c r="E8" s="9">
        <v>50475</v>
      </c>
      <c r="F8" s="9">
        <v>51228</v>
      </c>
      <c r="G8" s="9">
        <v>52376</v>
      </c>
      <c r="H8" s="9">
        <v>53879</v>
      </c>
      <c r="I8" s="9">
        <v>54826</v>
      </c>
      <c r="J8" s="9">
        <v>56772</v>
      </c>
      <c r="K8" s="9">
        <v>57029</v>
      </c>
      <c r="L8" s="9">
        <v>58773</v>
      </c>
      <c r="M8" s="9">
        <v>60034</v>
      </c>
      <c r="N8" s="9">
        <v>61886</v>
      </c>
      <c r="O8" s="9">
        <v>61009</v>
      </c>
      <c r="P8" s="9">
        <v>62475</v>
      </c>
      <c r="Q8" s="9">
        <v>64365</v>
      </c>
      <c r="R8" s="9">
        <v>66278</v>
      </c>
      <c r="S8" s="9">
        <v>68600</v>
      </c>
      <c r="T8" s="9">
        <v>71527</v>
      </c>
      <c r="U8" s="9">
        <v>72882</v>
      </c>
      <c r="V8" s="9">
        <v>75416</v>
      </c>
      <c r="AF8" s="9"/>
    </row>
    <row r="9" spans="1:32" ht="12.75">
      <c r="A9" s="59" t="s">
        <v>3</v>
      </c>
      <c r="B9" s="9">
        <v>3334</v>
      </c>
      <c r="C9" s="9">
        <v>3049</v>
      </c>
      <c r="D9" s="9">
        <v>3129</v>
      </c>
      <c r="E9" s="9">
        <v>3136</v>
      </c>
      <c r="F9" s="9">
        <v>3105</v>
      </c>
      <c r="G9" s="9">
        <v>3147</v>
      </c>
      <c r="H9" s="9">
        <v>3401</v>
      </c>
      <c r="I9" s="9">
        <v>3429</v>
      </c>
      <c r="J9" s="9">
        <v>3691</v>
      </c>
      <c r="K9" s="9">
        <v>4453</v>
      </c>
      <c r="L9" s="9">
        <v>4451</v>
      </c>
      <c r="M9" s="9">
        <v>5422</v>
      </c>
      <c r="N9" s="9">
        <v>5583</v>
      </c>
      <c r="O9" s="9">
        <v>6082</v>
      </c>
      <c r="P9" s="9">
        <v>5965</v>
      </c>
      <c r="Q9" s="9">
        <v>6172</v>
      </c>
      <c r="R9" s="9">
        <v>6622</v>
      </c>
      <c r="S9" s="9">
        <v>7827</v>
      </c>
      <c r="T9" s="9">
        <v>8261</v>
      </c>
      <c r="U9" s="9">
        <v>7023</v>
      </c>
      <c r="V9" s="9">
        <v>6849</v>
      </c>
      <c r="AF9" s="9"/>
    </row>
    <row r="10" spans="1:32" ht="12.75">
      <c r="A10" s="59" t="s">
        <v>4</v>
      </c>
      <c r="B10" s="9">
        <v>9639</v>
      </c>
      <c r="C10" s="9">
        <v>9446</v>
      </c>
      <c r="D10" s="9">
        <v>9802</v>
      </c>
      <c r="E10" s="9">
        <v>10189</v>
      </c>
      <c r="F10" s="9">
        <v>10419</v>
      </c>
      <c r="G10" s="9">
        <v>10754</v>
      </c>
      <c r="H10" s="9">
        <v>10785</v>
      </c>
      <c r="I10" s="9">
        <v>10816</v>
      </c>
      <c r="J10" s="9">
        <v>11036</v>
      </c>
      <c r="K10" s="9">
        <v>11373</v>
      </c>
      <c r="L10" s="9">
        <v>11521</v>
      </c>
      <c r="M10" s="9">
        <v>10831</v>
      </c>
      <c r="N10" s="9">
        <v>11164</v>
      </c>
      <c r="O10" s="9">
        <v>10800</v>
      </c>
      <c r="P10" s="9">
        <v>10606</v>
      </c>
      <c r="Q10" s="9">
        <v>10576</v>
      </c>
      <c r="R10" s="9">
        <v>10234</v>
      </c>
      <c r="S10" s="9">
        <v>9802</v>
      </c>
      <c r="T10" s="9">
        <v>9249</v>
      </c>
      <c r="U10" s="9">
        <v>9863</v>
      </c>
      <c r="V10" s="9">
        <v>9883</v>
      </c>
      <c r="AF10" s="9"/>
    </row>
    <row r="11" spans="1:32" ht="12.75">
      <c r="A11" t="s">
        <v>138</v>
      </c>
      <c r="B11" s="9">
        <v>11089</v>
      </c>
      <c r="C11" s="9">
        <v>11441</v>
      </c>
      <c r="D11" s="9">
        <v>11792</v>
      </c>
      <c r="E11" s="9">
        <v>11888</v>
      </c>
      <c r="F11" s="9">
        <v>12271</v>
      </c>
      <c r="G11" s="9">
        <v>12885</v>
      </c>
      <c r="H11" s="9">
        <v>12910</v>
      </c>
      <c r="I11" s="9">
        <v>13183</v>
      </c>
      <c r="J11" s="9">
        <v>14240</v>
      </c>
      <c r="K11" s="9">
        <v>14820</v>
      </c>
      <c r="L11" s="9">
        <v>16607</v>
      </c>
      <c r="M11" s="9">
        <v>17444</v>
      </c>
      <c r="N11" s="9">
        <v>17919</v>
      </c>
      <c r="O11" s="9">
        <v>17636</v>
      </c>
      <c r="P11" s="9">
        <v>18067</v>
      </c>
      <c r="Q11" s="9">
        <v>18403</v>
      </c>
      <c r="R11" s="9">
        <v>18485</v>
      </c>
      <c r="S11" s="9">
        <v>18278</v>
      </c>
      <c r="T11" s="9">
        <v>18751</v>
      </c>
      <c r="U11" s="9">
        <v>19301</v>
      </c>
      <c r="V11" s="9">
        <v>20398</v>
      </c>
      <c r="AF11" s="9"/>
    </row>
    <row r="12" spans="2:32" ht="12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AF12" s="9"/>
    </row>
    <row r="13" spans="1:32" ht="12.75">
      <c r="A13" s="59" t="s">
        <v>5</v>
      </c>
      <c r="B13" s="14" t="s">
        <v>242</v>
      </c>
      <c r="C13" s="14" t="s">
        <v>242</v>
      </c>
      <c r="D13" s="14" t="s">
        <v>242</v>
      </c>
      <c r="E13" s="14" t="s">
        <v>242</v>
      </c>
      <c r="F13" s="14" t="s">
        <v>242</v>
      </c>
      <c r="G13" s="14" t="s">
        <v>242</v>
      </c>
      <c r="H13" s="14" t="s">
        <v>242</v>
      </c>
      <c r="I13" s="14" t="s">
        <v>242</v>
      </c>
      <c r="J13" s="14" t="s">
        <v>242</v>
      </c>
      <c r="K13" s="14" t="s">
        <v>242</v>
      </c>
      <c r="L13" s="9">
        <v>5061</v>
      </c>
      <c r="M13" s="9">
        <v>5295</v>
      </c>
      <c r="N13" s="9">
        <v>5500</v>
      </c>
      <c r="O13" s="9">
        <v>5312</v>
      </c>
      <c r="P13" s="9">
        <v>5445</v>
      </c>
      <c r="Q13" s="9">
        <v>5492</v>
      </c>
      <c r="R13" s="9">
        <v>5579</v>
      </c>
      <c r="S13" s="9">
        <v>5533</v>
      </c>
      <c r="T13" s="9">
        <v>5619</v>
      </c>
      <c r="U13" s="9">
        <v>5938</v>
      </c>
      <c r="V13" s="9">
        <v>5948</v>
      </c>
      <c r="AF13" s="9"/>
    </row>
    <row r="14" spans="1:32" ht="12.75">
      <c r="A14" s="59" t="s">
        <v>6</v>
      </c>
      <c r="B14" s="14" t="s">
        <v>242</v>
      </c>
      <c r="C14" s="14" t="s">
        <v>242</v>
      </c>
      <c r="D14" s="14" t="s">
        <v>242</v>
      </c>
      <c r="E14" s="14" t="s">
        <v>242</v>
      </c>
      <c r="F14" s="14" t="s">
        <v>242</v>
      </c>
      <c r="G14" s="14" t="s">
        <v>242</v>
      </c>
      <c r="H14" s="14" t="s">
        <v>242</v>
      </c>
      <c r="I14" s="14" t="s">
        <v>242</v>
      </c>
      <c r="J14" s="14" t="s">
        <v>242</v>
      </c>
      <c r="K14" s="14" t="s">
        <v>242</v>
      </c>
      <c r="L14" s="9">
        <v>4459</v>
      </c>
      <c r="M14" s="9">
        <v>4709</v>
      </c>
      <c r="N14" s="9">
        <v>4853</v>
      </c>
      <c r="O14" s="9">
        <v>4694</v>
      </c>
      <c r="P14" s="9">
        <v>4923</v>
      </c>
      <c r="Q14" s="9">
        <v>4999</v>
      </c>
      <c r="R14" s="9">
        <v>4966</v>
      </c>
      <c r="S14" s="9">
        <v>5084</v>
      </c>
      <c r="T14" s="9">
        <v>5304</v>
      </c>
      <c r="U14" s="9">
        <v>5355</v>
      </c>
      <c r="V14" s="9">
        <v>5602</v>
      </c>
      <c r="AF14" s="9"/>
    </row>
    <row r="15" spans="1:32" ht="12.75">
      <c r="A15" t="s">
        <v>7</v>
      </c>
      <c r="B15" s="14" t="s">
        <v>242</v>
      </c>
      <c r="C15" s="14" t="s">
        <v>242</v>
      </c>
      <c r="D15" s="14" t="s">
        <v>242</v>
      </c>
      <c r="E15" s="14" t="s">
        <v>242</v>
      </c>
      <c r="F15" s="14" t="s">
        <v>242</v>
      </c>
      <c r="G15" s="14" t="s">
        <v>242</v>
      </c>
      <c r="H15" s="14" t="s">
        <v>242</v>
      </c>
      <c r="I15" s="14" t="s">
        <v>242</v>
      </c>
      <c r="J15" s="14" t="s">
        <v>242</v>
      </c>
      <c r="K15" s="14" t="s">
        <v>242</v>
      </c>
      <c r="L15" s="9">
        <v>3383</v>
      </c>
      <c r="M15" s="9">
        <v>3562</v>
      </c>
      <c r="N15" s="9">
        <v>3607</v>
      </c>
      <c r="O15" s="9">
        <v>3655</v>
      </c>
      <c r="P15" s="9">
        <v>3720</v>
      </c>
      <c r="Q15" s="9">
        <v>3827</v>
      </c>
      <c r="R15" s="9">
        <v>3801</v>
      </c>
      <c r="S15" s="9">
        <v>3848</v>
      </c>
      <c r="T15" s="9">
        <v>3833</v>
      </c>
      <c r="U15" s="9">
        <v>3848</v>
      </c>
      <c r="V15" s="9">
        <v>4277</v>
      </c>
      <c r="AF15" s="9"/>
    </row>
    <row r="16" spans="1:32" ht="12.75">
      <c r="A16" t="s">
        <v>8</v>
      </c>
      <c r="B16" s="14" t="s">
        <v>242</v>
      </c>
      <c r="C16" s="14" t="s">
        <v>242</v>
      </c>
      <c r="D16" s="14" t="s">
        <v>242</v>
      </c>
      <c r="E16" s="14" t="s">
        <v>242</v>
      </c>
      <c r="F16" s="14" t="s">
        <v>242</v>
      </c>
      <c r="G16" s="14" t="s">
        <v>242</v>
      </c>
      <c r="H16" s="14" t="s">
        <v>242</v>
      </c>
      <c r="I16" s="14" t="s">
        <v>242</v>
      </c>
      <c r="J16" s="14" t="s">
        <v>242</v>
      </c>
      <c r="K16" s="14" t="s">
        <v>242</v>
      </c>
      <c r="L16" s="9">
        <v>3704</v>
      </c>
      <c r="M16" s="9">
        <v>3878</v>
      </c>
      <c r="N16" s="9">
        <v>3959</v>
      </c>
      <c r="O16" s="9">
        <v>3975</v>
      </c>
      <c r="P16" s="9">
        <v>3979</v>
      </c>
      <c r="Q16" s="9">
        <v>4085</v>
      </c>
      <c r="R16" s="9">
        <v>4139</v>
      </c>
      <c r="S16" s="9">
        <v>3813</v>
      </c>
      <c r="T16" s="9">
        <v>3995</v>
      </c>
      <c r="U16" s="9">
        <v>4160</v>
      </c>
      <c r="V16" s="9">
        <v>4571</v>
      </c>
      <c r="AF16" s="9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D1">
      <selection activeCell="L3" sqref="L3:V16"/>
    </sheetView>
  </sheetViews>
  <sheetFormatPr defaultColWidth="9.140625" defaultRowHeight="12.75"/>
  <cols>
    <col min="1" max="1" width="27.00390625" style="0" customWidth="1"/>
  </cols>
  <sheetData>
    <row r="1" spans="2:22" ht="12.75">
      <c r="B1" s="82">
        <v>1973</v>
      </c>
      <c r="C1" s="82">
        <v>1974</v>
      </c>
      <c r="D1" s="82">
        <v>1975</v>
      </c>
      <c r="E1" s="82">
        <v>1976</v>
      </c>
      <c r="F1" s="82">
        <v>1977</v>
      </c>
      <c r="G1" s="82">
        <v>1978</v>
      </c>
      <c r="H1" s="82">
        <v>1979</v>
      </c>
      <c r="I1" s="82">
        <v>1980</v>
      </c>
      <c r="J1" s="82">
        <v>1981</v>
      </c>
      <c r="K1" s="82">
        <v>1983</v>
      </c>
      <c r="L1" s="82">
        <v>1985</v>
      </c>
      <c r="M1" s="84">
        <v>1987</v>
      </c>
      <c r="N1" s="84">
        <v>1989</v>
      </c>
      <c r="O1" s="84">
        <v>1991</v>
      </c>
      <c r="P1" s="84">
        <v>1993</v>
      </c>
      <c r="Q1" s="84">
        <v>1995</v>
      </c>
      <c r="R1">
        <v>1997</v>
      </c>
      <c r="S1">
        <v>1999</v>
      </c>
      <c r="T1">
        <v>2001</v>
      </c>
      <c r="U1">
        <v>2003</v>
      </c>
      <c r="V1">
        <v>2005</v>
      </c>
    </row>
    <row r="2" spans="1:22" ht="12.75">
      <c r="A2" s="59" t="s">
        <v>342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59" t="s">
        <v>80</v>
      </c>
      <c r="B3" s="14" t="s">
        <v>242</v>
      </c>
      <c r="C3" s="14" t="s">
        <v>242</v>
      </c>
      <c r="D3" s="59">
        <v>0.00471935321651</v>
      </c>
      <c r="E3" s="59">
        <v>0.005169196631196732</v>
      </c>
      <c r="F3" s="59">
        <v>0.004336191089746766</v>
      </c>
      <c r="G3" s="59">
        <v>0.004237441599362573</v>
      </c>
      <c r="H3" s="59">
        <v>0.004090511432151893</v>
      </c>
      <c r="I3" s="59">
        <v>0.003708267460243653</v>
      </c>
      <c r="J3" s="59">
        <v>0.004709295837518134</v>
      </c>
      <c r="K3" s="59">
        <v>0.004046904826833924</v>
      </c>
      <c r="L3" s="59">
        <v>0.005447084724389917</v>
      </c>
      <c r="M3" s="59">
        <v>0.007724289936382307</v>
      </c>
      <c r="N3" s="59">
        <v>0.0060712200817279625</v>
      </c>
      <c r="O3" s="59">
        <v>0.007078064870808137</v>
      </c>
      <c r="P3" s="59">
        <v>0.00810455748536543</v>
      </c>
      <c r="Q3" s="59">
        <v>0.007029876977152899</v>
      </c>
      <c r="R3" s="59">
        <v>0.006658057898544752</v>
      </c>
      <c r="S3" s="59">
        <v>0.005922060342678018</v>
      </c>
      <c r="T3" s="59">
        <v>0.005773970595839294</v>
      </c>
      <c r="U3" s="59">
        <v>0.0054090486387796365</v>
      </c>
      <c r="V3" s="59">
        <v>0.005915441542494939</v>
      </c>
    </row>
    <row r="4" spans="1:22" ht="12.75">
      <c r="A4" s="59" t="s">
        <v>81</v>
      </c>
      <c r="B4" s="14" t="s">
        <v>242</v>
      </c>
      <c r="C4" s="14" t="s">
        <v>242</v>
      </c>
      <c r="D4" s="59">
        <v>0.00800742717883254</v>
      </c>
      <c r="E4" s="59">
        <v>0.00893892783297191</v>
      </c>
      <c r="F4" s="59">
        <v>0.008957331879676891</v>
      </c>
      <c r="G4" s="59">
        <v>0.011022177151618316</v>
      </c>
      <c r="H4" s="59">
        <v>0.01228335658383184</v>
      </c>
      <c r="I4" s="59">
        <v>0.014182088719427137</v>
      </c>
      <c r="J4" s="59">
        <v>0.015857605177993526</v>
      </c>
      <c r="K4" s="59">
        <v>0.016602127079356422</v>
      </c>
      <c r="L4" s="59">
        <v>0.03394350329202369</v>
      </c>
      <c r="M4" s="59">
        <v>0.03943295095927466</v>
      </c>
      <c r="N4" s="59">
        <v>0.040854251799961085</v>
      </c>
      <c r="O4" s="59">
        <v>0.04147687112228069</v>
      </c>
      <c r="P4" s="59">
        <v>0.042696238480709414</v>
      </c>
      <c r="Q4" s="59">
        <v>0.04395552756971138</v>
      </c>
      <c r="R4" s="59">
        <v>0.058823529411764705</v>
      </c>
      <c r="S4" s="59">
        <v>0.04695793110818224</v>
      </c>
      <c r="T4" s="59">
        <v>0.04827728847446526</v>
      </c>
      <c r="U4" s="59">
        <v>0.0476832379213555</v>
      </c>
      <c r="V4" s="59">
        <v>0.04957189791922477</v>
      </c>
    </row>
    <row r="6" spans="1:22" ht="12.75">
      <c r="A6" s="59" t="s">
        <v>344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59" t="s">
        <v>9</v>
      </c>
      <c r="B7" s="59">
        <v>0.04353658374616498</v>
      </c>
      <c r="C7" s="59">
        <v>0.04895501146456527</v>
      </c>
      <c r="D7" s="59">
        <v>0.04309311051796836</v>
      </c>
      <c r="E7" s="59">
        <v>0.045728478491098894</v>
      </c>
      <c r="F7" s="59">
        <v>0.04575301055552802</v>
      </c>
      <c r="G7" s="59">
        <v>0.044318085787065545</v>
      </c>
      <c r="H7" s="59">
        <v>0.042678457427943156</v>
      </c>
      <c r="I7" s="59">
        <v>0.043824979075606806</v>
      </c>
      <c r="J7" s="59">
        <v>0.04319830376074099</v>
      </c>
      <c r="K7" s="59">
        <v>0.043621488955549494</v>
      </c>
      <c r="L7" s="59">
        <v>0.055773186286163165</v>
      </c>
      <c r="M7" s="59">
        <v>0.06095276261083003</v>
      </c>
      <c r="N7" s="59">
        <v>0.060595446584938706</v>
      </c>
      <c r="O7" s="59">
        <v>0.06222021518887929</v>
      </c>
      <c r="P7" s="59">
        <v>0.06190954579702865</v>
      </c>
      <c r="Q7" s="59">
        <v>0.06471622040731934</v>
      </c>
      <c r="R7" s="59">
        <v>0.06934637470121163</v>
      </c>
      <c r="S7" s="59">
        <v>0.06931927474797848</v>
      </c>
      <c r="T7" s="59">
        <v>0.07108878126131095</v>
      </c>
      <c r="U7" s="59">
        <v>0.06946447005827099</v>
      </c>
      <c r="V7" s="59">
        <v>0.06625626389672452</v>
      </c>
    </row>
    <row r="8" spans="1:22" ht="12.75">
      <c r="A8" s="59" t="s">
        <v>2</v>
      </c>
      <c r="B8" s="59">
        <v>0.6368852350152072</v>
      </c>
      <c r="C8" s="59">
        <v>0.6356244893656274</v>
      </c>
      <c r="D8" s="59">
        <v>0.6381313424367852</v>
      </c>
      <c r="E8" s="59">
        <v>0.6363785364869635</v>
      </c>
      <c r="F8" s="59">
        <v>0.6346697061301353</v>
      </c>
      <c r="G8" s="59">
        <v>0.6323083795105815</v>
      </c>
      <c r="H8" s="59">
        <v>0.6369730215402076</v>
      </c>
      <c r="I8" s="59">
        <v>0.6373337673207476</v>
      </c>
      <c r="J8" s="59">
        <v>0.6335453632407098</v>
      </c>
      <c r="K8" s="59">
        <v>0.6220779929097355</v>
      </c>
      <c r="L8" s="59">
        <v>0.6074791470712876</v>
      </c>
      <c r="M8" s="59">
        <v>0.6014526874718229</v>
      </c>
      <c r="N8" s="59">
        <v>0.6021210352208601</v>
      </c>
      <c r="O8" s="59">
        <v>0.5989260190057332</v>
      </c>
      <c r="P8" s="59">
        <v>0.6034949092946427</v>
      </c>
      <c r="Q8" s="59">
        <v>0.6049171545915059</v>
      </c>
      <c r="R8" s="59">
        <v>0.60699141870667</v>
      </c>
      <c r="S8" s="59">
        <v>0.6109072774552061</v>
      </c>
      <c r="T8" s="59">
        <v>0.6164101415053689</v>
      </c>
      <c r="U8" s="59">
        <v>0.6218017080308162</v>
      </c>
      <c r="V8" s="59">
        <v>0.6256927620880762</v>
      </c>
    </row>
    <row r="9" spans="1:22" ht="12.75">
      <c r="A9" s="59" t="s">
        <v>3</v>
      </c>
      <c r="B9" s="59">
        <v>0.04428034478636792</v>
      </c>
      <c r="C9" s="59">
        <v>0.04017868908626097</v>
      </c>
      <c r="D9" s="59">
        <v>0.04034660167885188</v>
      </c>
      <c r="E9" s="59">
        <v>0.03953805033032427</v>
      </c>
      <c r="F9" s="59">
        <v>0.03846820952475346</v>
      </c>
      <c r="G9" s="59">
        <v>0.03799210459599435</v>
      </c>
      <c r="H9" s="59">
        <v>0.0402075993663254</v>
      </c>
      <c r="I9" s="59">
        <v>0.03986096903189808</v>
      </c>
      <c r="J9" s="59">
        <v>0.041189599375069746</v>
      </c>
      <c r="K9" s="59">
        <v>0.048573766021270795</v>
      </c>
      <c r="L9" s="59">
        <v>0.04600564346918314</v>
      </c>
      <c r="M9" s="59">
        <v>0.05432049291188699</v>
      </c>
      <c r="N9" s="59">
        <v>0.05431990659661413</v>
      </c>
      <c r="O9" s="59">
        <v>0.05970706039425116</v>
      </c>
      <c r="P9" s="59">
        <v>0.05762060238403431</v>
      </c>
      <c r="Q9" s="59">
        <v>0.0580058832927643</v>
      </c>
      <c r="R9" s="59">
        <v>0.06064602393970199</v>
      </c>
      <c r="S9" s="59">
        <v>0.06970220496562533</v>
      </c>
      <c r="T9" s="59">
        <v>0.0711921956600424</v>
      </c>
      <c r="U9" s="59">
        <v>0.05991758452704951</v>
      </c>
      <c r="V9" s="59">
        <v>0.05682308432615405</v>
      </c>
    </row>
    <row r="10" spans="1:22" ht="12.75">
      <c r="A10" s="59" t="s">
        <v>4</v>
      </c>
      <c r="B10" s="59">
        <v>0.12801986904493112</v>
      </c>
      <c r="C10" s="59">
        <v>0.12447618796615977</v>
      </c>
      <c r="D10" s="59">
        <v>0.1263909842301394</v>
      </c>
      <c r="E10" s="59">
        <v>0.1284608401835695</v>
      </c>
      <c r="F10" s="59">
        <v>0.1290822141830616</v>
      </c>
      <c r="G10" s="59">
        <v>0.12982748421522822</v>
      </c>
      <c r="H10" s="59">
        <v>0.1275033693519022</v>
      </c>
      <c r="I10" s="59">
        <v>0.1257323537617409</v>
      </c>
      <c r="J10" s="59">
        <v>0.12315589777926571</v>
      </c>
      <c r="K10" s="59">
        <v>0.12405781292609763</v>
      </c>
      <c r="L10" s="59">
        <v>0.11908133417399663</v>
      </c>
      <c r="M10" s="59">
        <v>0.10851074487802434</v>
      </c>
      <c r="N10" s="59">
        <v>0.10862035415450477</v>
      </c>
      <c r="O10" s="59">
        <v>0.10602371789837431</v>
      </c>
      <c r="P10" s="59">
        <v>0.1024516527887792</v>
      </c>
      <c r="Q10" s="59">
        <v>0.09939569373043994</v>
      </c>
      <c r="R10" s="59">
        <v>0.09372567336135762</v>
      </c>
      <c r="S10" s="59">
        <v>0.08729027891568411</v>
      </c>
      <c r="T10" s="59">
        <v>0.07970664782226512</v>
      </c>
      <c r="U10" s="59">
        <v>0.08414739230959552</v>
      </c>
      <c r="V10" s="59">
        <v>0.08199482295158132</v>
      </c>
    </row>
    <row r="11" spans="1:22" ht="12.75">
      <c r="A11" t="s">
        <v>138</v>
      </c>
      <c r="B11" s="59">
        <v>0.1472779674073287</v>
      </c>
      <c r="C11" s="59">
        <v>0.15076562211738662</v>
      </c>
      <c r="D11" s="59">
        <v>0.1520508555439506</v>
      </c>
      <c r="E11" s="59">
        <v>0.14988148671138232</v>
      </c>
      <c r="F11" s="59">
        <v>0.15202685960652162</v>
      </c>
      <c r="G11" s="59">
        <v>0.15555394589113034</v>
      </c>
      <c r="H11" s="59">
        <v>0.15262573002624547</v>
      </c>
      <c r="I11" s="59">
        <v>0.1532479308100065</v>
      </c>
      <c r="J11" s="59">
        <v>0.1589108358442138</v>
      </c>
      <c r="K11" s="59">
        <v>0.1616580310880829</v>
      </c>
      <c r="L11" s="59">
        <v>0.17165035297522455</v>
      </c>
      <c r="M11" s="59">
        <v>0.17476331212743576</v>
      </c>
      <c r="N11" s="59">
        <v>0.17434325744308232</v>
      </c>
      <c r="O11" s="59">
        <v>0.17313280452367863</v>
      </c>
      <c r="P11" s="59">
        <v>0.17452328973551515</v>
      </c>
      <c r="Q11" s="59">
        <v>0.17295564974671768</v>
      </c>
      <c r="R11" s="59">
        <v>0.1692905092910588</v>
      </c>
      <c r="S11" s="59">
        <v>0.16277205856160723</v>
      </c>
      <c r="T11" s="59">
        <v>0.16159361588445165</v>
      </c>
      <c r="U11" s="59">
        <v>0.16466884507426777</v>
      </c>
      <c r="V11" s="59">
        <v>0.1692330667374639</v>
      </c>
    </row>
    <row r="12" spans="1:22" ht="12.7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ht="12.75">
      <c r="A13" s="59" t="s">
        <v>5</v>
      </c>
      <c r="B13" s="14" t="s">
        <v>242</v>
      </c>
      <c r="C13" s="14" t="s">
        <v>242</v>
      </c>
      <c r="D13" s="14" t="s">
        <v>242</v>
      </c>
      <c r="E13" s="14" t="s">
        <v>242</v>
      </c>
      <c r="F13" s="14" t="s">
        <v>242</v>
      </c>
      <c r="G13" s="14" t="s">
        <v>242</v>
      </c>
      <c r="H13" s="14" t="s">
        <v>242</v>
      </c>
      <c r="I13" s="14" t="s">
        <v>242</v>
      </c>
      <c r="J13" s="14" t="s">
        <v>242</v>
      </c>
      <c r="K13" s="14" t="s">
        <v>242</v>
      </c>
      <c r="L13" s="59">
        <v>0.05231061819760411</v>
      </c>
      <c r="M13" s="59">
        <v>0.05304813905725592</v>
      </c>
      <c r="N13" s="59">
        <v>0.053512356489589415</v>
      </c>
      <c r="O13" s="59">
        <v>0.052147961988533734</v>
      </c>
      <c r="P13" s="59">
        <v>0.05259751550395085</v>
      </c>
      <c r="Q13" s="59">
        <v>0.05161508604080712</v>
      </c>
      <c r="R13" s="59">
        <v>0.051093954629960345</v>
      </c>
      <c r="S13" s="59">
        <v>0.04927332312186086</v>
      </c>
      <c r="T13" s="59">
        <v>0.04842379220600148</v>
      </c>
      <c r="U13" s="59">
        <v>0.0506607741594219</v>
      </c>
      <c r="V13" s="59">
        <v>0.04934789101649355</v>
      </c>
    </row>
    <row r="14" spans="1:22" ht="12.75">
      <c r="A14" s="59" t="s">
        <v>6</v>
      </c>
      <c r="B14" s="14" t="s">
        <v>242</v>
      </c>
      <c r="C14" s="14" t="s">
        <v>242</v>
      </c>
      <c r="D14" s="14" t="s">
        <v>242</v>
      </c>
      <c r="E14" s="14" t="s">
        <v>242</v>
      </c>
      <c r="F14" s="14" t="s">
        <v>242</v>
      </c>
      <c r="G14" s="14" t="s">
        <v>242</v>
      </c>
      <c r="H14" s="14" t="s">
        <v>242</v>
      </c>
      <c r="I14" s="14" t="s">
        <v>242</v>
      </c>
      <c r="J14" s="14" t="s">
        <v>242</v>
      </c>
      <c r="K14" s="14" t="s">
        <v>242</v>
      </c>
      <c r="L14" s="59">
        <v>0.04608833166234276</v>
      </c>
      <c r="M14" s="59">
        <v>0.047177277964233835</v>
      </c>
      <c r="N14" s="59">
        <v>0.047217357462541354</v>
      </c>
      <c r="O14" s="59">
        <v>0.046081049242126755</v>
      </c>
      <c r="P14" s="59">
        <v>0.047555109058943994</v>
      </c>
      <c r="Q14" s="59">
        <v>0.046981758033138164</v>
      </c>
      <c r="R14" s="59">
        <v>0.04547993882279675</v>
      </c>
      <c r="S14" s="59">
        <v>0.045274819221315855</v>
      </c>
      <c r="T14" s="59">
        <v>0.045709164239300916</v>
      </c>
      <c r="U14" s="59">
        <v>0.04568683826603305</v>
      </c>
      <c r="V14" s="59">
        <v>0.046477284040752666</v>
      </c>
    </row>
    <row r="15" spans="1:22" ht="12.75">
      <c r="A15" t="s">
        <v>7</v>
      </c>
      <c r="B15" s="14" t="s">
        <v>242</v>
      </c>
      <c r="C15" s="14" t="s">
        <v>242</v>
      </c>
      <c r="D15" s="14" t="s">
        <v>242</v>
      </c>
      <c r="E15" s="14" t="s">
        <v>242</v>
      </c>
      <c r="F15" s="14" t="s">
        <v>242</v>
      </c>
      <c r="G15" s="14" t="s">
        <v>242</v>
      </c>
      <c r="H15" s="14" t="s">
        <v>242</v>
      </c>
      <c r="I15" s="14" t="s">
        <v>242</v>
      </c>
      <c r="J15" s="14" t="s">
        <v>242</v>
      </c>
      <c r="K15" s="14" t="s">
        <v>242</v>
      </c>
      <c r="L15" s="59">
        <v>0.03496676968237398</v>
      </c>
      <c r="M15" s="59">
        <v>0.03568601913540049</v>
      </c>
      <c r="N15" s="59">
        <v>0.03509437633780891</v>
      </c>
      <c r="O15" s="59">
        <v>0.03588117489986649</v>
      </c>
      <c r="P15" s="59">
        <v>0.03593439075752014</v>
      </c>
      <c r="Q15" s="59">
        <v>0.0359670310047649</v>
      </c>
      <c r="R15" s="59">
        <v>0.03481056130999808</v>
      </c>
      <c r="S15" s="59">
        <v>0.034267801802443626</v>
      </c>
      <c r="T15" s="59">
        <v>0.033032282528137336</v>
      </c>
      <c r="U15" s="59">
        <v>0.03282968322085811</v>
      </c>
      <c r="V15" s="59">
        <v>0.03548435270301663</v>
      </c>
    </row>
    <row r="16" spans="1:22" ht="12.75">
      <c r="A16" t="s">
        <v>8</v>
      </c>
      <c r="B16" s="14" t="s">
        <v>242</v>
      </c>
      <c r="C16" s="14" t="s">
        <v>242</v>
      </c>
      <c r="D16" s="14" t="s">
        <v>242</v>
      </c>
      <c r="E16" s="14" t="s">
        <v>242</v>
      </c>
      <c r="F16" s="14" t="s">
        <v>242</v>
      </c>
      <c r="G16" s="14" t="s">
        <v>242</v>
      </c>
      <c r="H16" s="14" t="s">
        <v>242</v>
      </c>
      <c r="I16" s="14" t="s">
        <v>242</v>
      </c>
      <c r="J16" s="14" t="s">
        <v>242</v>
      </c>
      <c r="K16" s="14" t="s">
        <v>242</v>
      </c>
      <c r="L16" s="59">
        <v>0.0382846334329037</v>
      </c>
      <c r="M16" s="59">
        <v>0.038851875970545506</v>
      </c>
      <c r="N16" s="59">
        <v>0.03851916715314264</v>
      </c>
      <c r="O16" s="59">
        <v>0.03902261839315165</v>
      </c>
      <c r="P16" s="59">
        <v>0.03843627441510017</v>
      </c>
      <c r="Q16" s="59">
        <v>0.03839177466800748</v>
      </c>
      <c r="R16" s="59">
        <v>0.03790605452830362</v>
      </c>
      <c r="S16" s="59">
        <v>0.03395611441598689</v>
      </c>
      <c r="T16" s="59">
        <v>0.03442837691101191</v>
      </c>
      <c r="U16" s="59">
        <v>0.03549154942795472</v>
      </c>
      <c r="V16" s="59">
        <v>0.03792353897720108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9">
      <selection activeCell="A9" sqref="A1:A16384"/>
    </sheetView>
  </sheetViews>
  <sheetFormatPr defaultColWidth="9.140625" defaultRowHeight="12.75"/>
  <cols>
    <col min="1" max="1" width="27.00390625" style="0" customWidth="1"/>
  </cols>
  <sheetData>
    <row r="1" spans="2:22" ht="12.75">
      <c r="B1" s="82">
        <v>1973</v>
      </c>
      <c r="C1" s="82">
        <v>1974</v>
      </c>
      <c r="D1" s="82">
        <v>1975</v>
      </c>
      <c r="E1" s="82">
        <v>1976</v>
      </c>
      <c r="F1" s="82">
        <v>1977</v>
      </c>
      <c r="G1" s="82">
        <v>1978</v>
      </c>
      <c r="H1" s="82">
        <v>1979</v>
      </c>
      <c r="I1" s="82">
        <v>1980</v>
      </c>
      <c r="J1" s="82">
        <v>1981</v>
      </c>
      <c r="K1" s="82">
        <v>1983</v>
      </c>
      <c r="L1" s="82">
        <v>1985</v>
      </c>
      <c r="M1" s="84">
        <v>1987</v>
      </c>
      <c r="N1" s="84">
        <v>1989</v>
      </c>
      <c r="O1" s="84">
        <v>1991</v>
      </c>
      <c r="P1" s="84">
        <v>1993</v>
      </c>
      <c r="Q1" s="84">
        <v>1995</v>
      </c>
      <c r="R1">
        <v>1997</v>
      </c>
      <c r="S1">
        <v>1999</v>
      </c>
      <c r="T1">
        <v>2001</v>
      </c>
      <c r="U1">
        <v>2003</v>
      </c>
      <c r="V1">
        <v>2005</v>
      </c>
    </row>
    <row r="2" spans="1:22" ht="12.75">
      <c r="A2" s="59" t="s">
        <v>145</v>
      </c>
      <c r="B2" s="9">
        <v>75969</v>
      </c>
      <c r="C2" s="9">
        <v>77601</v>
      </c>
      <c r="D2" s="9">
        <v>79087</v>
      </c>
      <c r="E2" s="9">
        <v>80881</v>
      </c>
      <c r="F2" s="9">
        <v>82420</v>
      </c>
      <c r="G2" s="9">
        <v>84618</v>
      </c>
      <c r="H2" s="9">
        <v>86374</v>
      </c>
      <c r="I2" s="9">
        <v>88207</v>
      </c>
      <c r="J2" s="9">
        <v>91561</v>
      </c>
      <c r="K2" s="9">
        <v>93519</v>
      </c>
      <c r="L2" s="9">
        <v>99931</v>
      </c>
      <c r="M2" s="9">
        <v>102652</v>
      </c>
      <c r="N2" s="9">
        <v>105661</v>
      </c>
      <c r="O2" s="9">
        <v>104592</v>
      </c>
      <c r="P2" s="9">
        <v>106611</v>
      </c>
      <c r="Q2" s="9">
        <v>109457</v>
      </c>
      <c r="R2" s="9">
        <v>112357</v>
      </c>
      <c r="S2" s="9">
        <v>115253</v>
      </c>
      <c r="T2" s="9">
        <v>119117</v>
      </c>
      <c r="U2" s="9">
        <v>120777</v>
      </c>
      <c r="V2" s="9">
        <v>124377</v>
      </c>
    </row>
    <row r="3" spans="1:22" ht="12.75">
      <c r="A3" s="5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.75">
      <c r="A4" t="s">
        <v>149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t="s">
        <v>35</v>
      </c>
      <c r="B5" s="9">
        <v>17684</v>
      </c>
      <c r="C5" s="9">
        <v>18046</v>
      </c>
      <c r="D5" s="9">
        <v>18053</v>
      </c>
      <c r="E5" s="9">
        <v>18283</v>
      </c>
      <c r="F5" s="9">
        <v>18387</v>
      </c>
      <c r="G5" s="9">
        <v>18772</v>
      </c>
      <c r="H5" s="9">
        <v>18953</v>
      </c>
      <c r="I5" s="9">
        <v>19272</v>
      </c>
      <c r="J5" s="9">
        <v>19817</v>
      </c>
      <c r="K5" s="9">
        <v>20053</v>
      </c>
      <c r="L5" s="9">
        <v>20864</v>
      </c>
      <c r="M5" s="9">
        <v>21164</v>
      </c>
      <c r="N5" s="9">
        <v>21729</v>
      </c>
      <c r="O5" s="9">
        <v>21093</v>
      </c>
      <c r="P5" s="9">
        <v>21157</v>
      </c>
      <c r="Q5" s="9">
        <v>21461</v>
      </c>
      <c r="R5" s="9">
        <v>21776</v>
      </c>
      <c r="S5" s="9">
        <v>22016</v>
      </c>
      <c r="T5" s="9">
        <v>22347</v>
      </c>
      <c r="U5" s="9">
        <v>22602</v>
      </c>
      <c r="V5" s="9">
        <v>22839</v>
      </c>
    </row>
    <row r="6" spans="1:22" ht="12.75">
      <c r="A6" s="59" t="s">
        <v>36</v>
      </c>
      <c r="B6" s="9">
        <v>20352</v>
      </c>
      <c r="C6" s="9">
        <v>20585</v>
      </c>
      <c r="D6" s="9">
        <v>21035</v>
      </c>
      <c r="E6" s="9">
        <v>21381</v>
      </c>
      <c r="F6" s="9">
        <v>21622</v>
      </c>
      <c r="G6" s="9">
        <v>22028</v>
      </c>
      <c r="H6" s="9">
        <v>22495</v>
      </c>
      <c r="I6" s="9">
        <v>22800</v>
      </c>
      <c r="J6" s="9">
        <v>23655</v>
      </c>
      <c r="K6" s="9">
        <v>23874</v>
      </c>
      <c r="L6" s="9">
        <v>24565</v>
      </c>
      <c r="M6" s="9">
        <v>24507</v>
      </c>
      <c r="N6" s="9">
        <v>25269</v>
      </c>
      <c r="O6" s="9">
        <v>24987</v>
      </c>
      <c r="P6" s="9">
        <v>25480</v>
      </c>
      <c r="Q6" s="9">
        <v>26056</v>
      </c>
      <c r="R6" s="9">
        <v>26580</v>
      </c>
      <c r="S6" s="9">
        <v>27077</v>
      </c>
      <c r="T6" s="9">
        <v>27748</v>
      </c>
      <c r="U6" s="9">
        <v>27893</v>
      </c>
      <c r="V6" s="9">
        <v>28642</v>
      </c>
    </row>
    <row r="7" spans="1:22" ht="12.75">
      <c r="A7" s="59" t="s">
        <v>37</v>
      </c>
      <c r="B7" s="9">
        <v>24095</v>
      </c>
      <c r="C7" s="9">
        <v>24750</v>
      </c>
      <c r="D7" s="9">
        <v>25364</v>
      </c>
      <c r="E7" s="9">
        <v>26115</v>
      </c>
      <c r="F7" s="9">
        <v>26816</v>
      </c>
      <c r="G7" s="9">
        <v>27601</v>
      </c>
      <c r="H7" s="9">
        <v>28271</v>
      </c>
      <c r="I7" s="9">
        <v>29057</v>
      </c>
      <c r="J7" s="9">
        <v>30226</v>
      </c>
      <c r="K7" s="9">
        <v>31150</v>
      </c>
      <c r="L7" s="9">
        <v>34815</v>
      </c>
      <c r="M7" s="9">
        <v>36356</v>
      </c>
      <c r="N7" s="9">
        <v>37491</v>
      </c>
      <c r="O7" s="9">
        <v>36983</v>
      </c>
      <c r="P7" s="9">
        <v>37886</v>
      </c>
      <c r="Q7" s="9">
        <v>39148</v>
      </c>
      <c r="R7" s="9">
        <v>40403</v>
      </c>
      <c r="S7" s="9">
        <v>41819</v>
      </c>
      <c r="T7" s="9">
        <v>43571</v>
      </c>
      <c r="U7" s="9">
        <v>44659</v>
      </c>
      <c r="V7" s="9">
        <v>46400</v>
      </c>
    </row>
    <row r="8" spans="1:22" ht="12.75">
      <c r="A8" s="59" t="s">
        <v>38</v>
      </c>
      <c r="B8" s="9">
        <v>13838</v>
      </c>
      <c r="C8" s="9">
        <v>14221</v>
      </c>
      <c r="D8" s="9">
        <v>14635</v>
      </c>
      <c r="E8" s="9">
        <v>15102</v>
      </c>
      <c r="F8" s="9">
        <v>15594</v>
      </c>
      <c r="G8" s="9">
        <v>16218</v>
      </c>
      <c r="H8" s="9">
        <v>16656</v>
      </c>
      <c r="I8" s="9">
        <v>17078</v>
      </c>
      <c r="J8" s="9">
        <v>17862</v>
      </c>
      <c r="K8" s="9">
        <v>18443</v>
      </c>
      <c r="L8" s="9">
        <v>19687</v>
      </c>
      <c r="M8" s="9">
        <v>20625</v>
      </c>
      <c r="N8" s="9">
        <v>21171</v>
      </c>
      <c r="O8" s="9">
        <v>21528</v>
      </c>
      <c r="P8" s="9">
        <v>22088</v>
      </c>
      <c r="Q8" s="9">
        <v>22791</v>
      </c>
      <c r="R8" s="9">
        <v>23599</v>
      </c>
      <c r="S8" s="9">
        <v>24342</v>
      </c>
      <c r="T8" s="9">
        <v>25450</v>
      </c>
      <c r="U8" s="9">
        <v>25623</v>
      </c>
      <c r="V8" s="9">
        <v>26496</v>
      </c>
    </row>
    <row r="9" spans="1:22" ht="12.75">
      <c r="A9" s="5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>
      <c r="A10" t="s">
        <v>150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t="s">
        <v>39</v>
      </c>
      <c r="B11" s="9">
        <v>51143</v>
      </c>
      <c r="C11" s="9">
        <v>52066</v>
      </c>
      <c r="D11" s="9">
        <v>53031</v>
      </c>
      <c r="E11" s="9">
        <v>53934</v>
      </c>
      <c r="F11" s="9">
        <v>54897</v>
      </c>
      <c r="G11" s="9">
        <v>56384</v>
      </c>
      <c r="H11" s="9">
        <v>57484</v>
      </c>
      <c r="I11" s="9">
        <v>58477</v>
      </c>
      <c r="J11" s="9">
        <v>60928</v>
      </c>
      <c r="K11" s="9">
        <v>62293</v>
      </c>
      <c r="L11" s="9">
        <v>75853</v>
      </c>
      <c r="M11" s="9">
        <v>78108</v>
      </c>
      <c r="N11" s="9">
        <v>80936</v>
      </c>
      <c r="O11" s="9">
        <v>79949</v>
      </c>
      <c r="P11" s="9">
        <v>81293</v>
      </c>
      <c r="Q11" s="9">
        <v>83349</v>
      </c>
      <c r="R11" s="9">
        <v>85466</v>
      </c>
      <c r="S11" s="9">
        <v>87697</v>
      </c>
      <c r="T11" s="9">
        <v>93058</v>
      </c>
      <c r="U11" s="9">
        <v>94488</v>
      </c>
      <c r="V11" s="9">
        <v>94798</v>
      </c>
    </row>
    <row r="12" spans="1:22" ht="12.75">
      <c r="A12" s="59" t="s">
        <v>40</v>
      </c>
      <c r="B12" s="9">
        <v>24123</v>
      </c>
      <c r="C12" s="9">
        <v>24081</v>
      </c>
      <c r="D12" s="9">
        <v>24245</v>
      </c>
      <c r="E12" s="9">
        <v>24576</v>
      </c>
      <c r="F12" s="9">
        <v>24860</v>
      </c>
      <c r="G12" s="9">
        <v>25213</v>
      </c>
      <c r="H12" s="9">
        <v>25422</v>
      </c>
      <c r="I12" s="9">
        <v>25511</v>
      </c>
      <c r="J12" s="9">
        <v>26575</v>
      </c>
      <c r="K12" s="9">
        <v>27257</v>
      </c>
      <c r="L12" s="9">
        <v>32665</v>
      </c>
      <c r="M12" s="9">
        <v>33404</v>
      </c>
      <c r="N12" s="9">
        <v>33685</v>
      </c>
      <c r="O12" s="9">
        <v>32925</v>
      </c>
      <c r="P12" s="9">
        <v>33140</v>
      </c>
      <c r="Q12" s="9">
        <v>33513</v>
      </c>
      <c r="R12" s="9">
        <v>34062</v>
      </c>
      <c r="S12" s="9">
        <v>34456</v>
      </c>
      <c r="T12" s="9">
        <v>35076</v>
      </c>
      <c r="U12" s="9">
        <v>35217</v>
      </c>
      <c r="V12" s="9">
        <v>35826</v>
      </c>
    </row>
    <row r="13" spans="1:22" ht="12.75">
      <c r="A13" s="59" t="s">
        <v>41</v>
      </c>
      <c r="B13" s="9">
        <v>27020</v>
      </c>
      <c r="C13" s="9">
        <v>27985</v>
      </c>
      <c r="D13" s="9">
        <v>28785</v>
      </c>
      <c r="E13" s="9">
        <v>29359</v>
      </c>
      <c r="F13" s="9">
        <v>30037</v>
      </c>
      <c r="G13" s="9">
        <v>31171</v>
      </c>
      <c r="H13" s="9">
        <v>32062</v>
      </c>
      <c r="I13" s="9">
        <v>32967</v>
      </c>
      <c r="J13" s="9">
        <v>34353</v>
      </c>
      <c r="K13" s="9">
        <v>35036</v>
      </c>
      <c r="L13" s="9">
        <v>43188</v>
      </c>
      <c r="M13" s="9">
        <v>44704</v>
      </c>
      <c r="N13" s="9">
        <v>47251</v>
      </c>
      <c r="O13" s="9">
        <v>47024</v>
      </c>
      <c r="P13" s="9">
        <v>48153</v>
      </c>
      <c r="Q13" s="9">
        <v>49836</v>
      </c>
      <c r="R13" s="9">
        <v>51404</v>
      </c>
      <c r="S13" s="9">
        <v>53241</v>
      </c>
      <c r="T13" s="9">
        <v>57983</v>
      </c>
      <c r="U13" s="9">
        <v>59271</v>
      </c>
      <c r="V13" s="9">
        <v>58971</v>
      </c>
    </row>
    <row r="14" spans="1:22" ht="12.75">
      <c r="A14" t="s">
        <v>42</v>
      </c>
      <c r="B14" s="9">
        <v>24826</v>
      </c>
      <c r="C14" s="9">
        <v>25535</v>
      </c>
      <c r="D14" s="9">
        <v>26057</v>
      </c>
      <c r="E14" s="9">
        <v>26947</v>
      </c>
      <c r="F14" s="9">
        <v>27523</v>
      </c>
      <c r="G14" s="9">
        <v>28235</v>
      </c>
      <c r="H14" s="9">
        <v>28890</v>
      </c>
      <c r="I14" s="9">
        <v>29730</v>
      </c>
      <c r="J14" s="9">
        <v>30633</v>
      </c>
      <c r="K14" s="9">
        <v>31226</v>
      </c>
      <c r="L14" s="9">
        <v>24078</v>
      </c>
      <c r="M14" s="9">
        <v>24544</v>
      </c>
      <c r="N14" s="9">
        <v>24725</v>
      </c>
      <c r="O14" s="9">
        <v>24643</v>
      </c>
      <c r="P14" s="9">
        <v>25318</v>
      </c>
      <c r="Q14" s="9">
        <v>26108</v>
      </c>
      <c r="R14" s="9">
        <v>26891</v>
      </c>
      <c r="S14" s="9">
        <v>27555</v>
      </c>
      <c r="T14" s="9">
        <v>26058</v>
      </c>
      <c r="U14" s="9">
        <v>26289</v>
      </c>
      <c r="V14" s="9">
        <v>29579</v>
      </c>
    </row>
    <row r="15" spans="2:22" ht="12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2.75">
      <c r="A16" s="59" t="s">
        <v>147</v>
      </c>
      <c r="B16" s="9">
        <v>676</v>
      </c>
      <c r="C16" s="9">
        <v>1715</v>
      </c>
      <c r="D16" s="9">
        <v>1534</v>
      </c>
      <c r="E16" s="9">
        <v>1565</v>
      </c>
      <c r="F16" s="9">
        <v>1704</v>
      </c>
      <c r="G16" s="9">
        <v>1785</v>
      </c>
      <c r="H16" s="9">
        <v>1788</v>
      </c>
      <c r="I16" s="9">
        <v>2183</v>
      </c>
      <c r="J16" s="9">
        <v>1950</v>
      </c>
      <c r="K16" s="9">
        <v>1845</v>
      </c>
      <c r="L16" s="9">
        <v>3182</v>
      </c>
      <c r="M16" s="9">
        <v>2837</v>
      </c>
      <c r="N16" s="9">
        <v>2881</v>
      </c>
      <c r="O16" s="9">
        <v>2728</v>
      </c>
      <c r="P16" s="9">
        <v>3088</v>
      </c>
      <c r="Q16" s="9">
        <v>3054</v>
      </c>
      <c r="R16" s="9">
        <v>3166</v>
      </c>
      <c r="S16" s="9">
        <v>2961</v>
      </c>
      <c r="T16" s="9">
        <v>3078</v>
      </c>
      <c r="U16" s="9">
        <v>3566</v>
      </c>
      <c r="V16" s="9">
        <v>3845</v>
      </c>
    </row>
    <row r="17" spans="1:22" ht="12.75">
      <c r="A17" s="59" t="s">
        <v>341</v>
      </c>
      <c r="B17" s="9">
        <v>75293</v>
      </c>
      <c r="C17" s="9">
        <v>75886</v>
      </c>
      <c r="D17" s="9">
        <v>77553</v>
      </c>
      <c r="E17" s="9">
        <v>79316</v>
      </c>
      <c r="F17" s="9">
        <v>80716</v>
      </c>
      <c r="G17" s="9">
        <v>82833</v>
      </c>
      <c r="H17" s="9">
        <v>84586</v>
      </c>
      <c r="I17" s="9">
        <v>86024</v>
      </c>
      <c r="J17" s="9">
        <v>89610</v>
      </c>
      <c r="K17" s="9">
        <v>91675</v>
      </c>
      <c r="L17" s="9">
        <v>96749</v>
      </c>
      <c r="M17" s="9">
        <v>99815</v>
      </c>
      <c r="N17" s="9">
        <v>102780</v>
      </c>
      <c r="O17" s="9">
        <v>101864</v>
      </c>
      <c r="P17" s="9">
        <v>103522</v>
      </c>
      <c r="Q17" s="9">
        <v>106403</v>
      </c>
      <c r="R17" s="9">
        <v>109191</v>
      </c>
      <c r="S17" s="9">
        <v>112292</v>
      </c>
      <c r="T17" s="9">
        <v>116038</v>
      </c>
      <c r="U17" s="9">
        <v>117211</v>
      </c>
      <c r="V17" s="9">
        <v>120532</v>
      </c>
    </row>
    <row r="18" spans="1:22" ht="12.75">
      <c r="A18" s="5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59" t="s">
        <v>343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t="s">
        <v>0</v>
      </c>
      <c r="B20" s="9">
        <v>69337</v>
      </c>
      <c r="C20" s="9">
        <v>70830</v>
      </c>
      <c r="D20" s="9">
        <v>72523</v>
      </c>
      <c r="E20" s="9">
        <v>74005</v>
      </c>
      <c r="F20" s="9">
        <v>75280</v>
      </c>
      <c r="G20" s="9">
        <v>77167</v>
      </c>
      <c r="H20" s="9">
        <v>78572</v>
      </c>
      <c r="I20" s="9">
        <v>80072</v>
      </c>
      <c r="J20" s="9">
        <v>83175</v>
      </c>
      <c r="K20" s="9">
        <v>84638</v>
      </c>
      <c r="L20" s="9">
        <v>88425</v>
      </c>
      <c r="M20" s="9">
        <v>90888</v>
      </c>
      <c r="N20" s="9">
        <v>93683</v>
      </c>
      <c r="O20" s="9">
        <v>93147</v>
      </c>
      <c r="P20" s="9">
        <v>94724</v>
      </c>
      <c r="Q20" s="9">
        <v>97693</v>
      </c>
      <c r="R20" s="9">
        <v>99487</v>
      </c>
      <c r="S20" s="9">
        <v>102803</v>
      </c>
      <c r="T20" s="9">
        <v>106261</v>
      </c>
      <c r="U20" s="9">
        <v>105842</v>
      </c>
      <c r="V20" s="9">
        <v>108871</v>
      </c>
    </row>
    <row r="21" spans="1:22" ht="12.75">
      <c r="A21" t="s">
        <v>1</v>
      </c>
      <c r="B21" s="9">
        <v>5956</v>
      </c>
      <c r="C21" s="9">
        <v>5056</v>
      </c>
      <c r="D21" s="9">
        <v>5030</v>
      </c>
      <c r="E21" s="9">
        <v>5311</v>
      </c>
      <c r="F21" s="9">
        <v>5436</v>
      </c>
      <c r="G21" s="9">
        <v>5667</v>
      </c>
      <c r="H21" s="9">
        <v>6014</v>
      </c>
      <c r="I21" s="9">
        <v>5953</v>
      </c>
      <c r="J21" s="9">
        <v>6435</v>
      </c>
      <c r="K21" s="9">
        <v>7037</v>
      </c>
      <c r="L21" s="9">
        <v>8324</v>
      </c>
      <c r="M21" s="9">
        <v>8927</v>
      </c>
      <c r="N21" s="9">
        <v>9097</v>
      </c>
      <c r="O21" s="9">
        <v>8717</v>
      </c>
      <c r="P21" s="9">
        <v>8799</v>
      </c>
      <c r="Q21" s="9">
        <v>8710</v>
      </c>
      <c r="R21" s="9">
        <v>9704</v>
      </c>
      <c r="S21" s="9">
        <v>9489</v>
      </c>
      <c r="T21" s="9">
        <v>9777</v>
      </c>
      <c r="U21" s="9">
        <v>11369</v>
      </c>
      <c r="V21" s="9">
        <v>11660</v>
      </c>
    </row>
    <row r="22" spans="1:22" ht="12.75">
      <c r="A22" s="5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t="s">
        <v>268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t="s">
        <v>72</v>
      </c>
      <c r="B24" s="9">
        <v>44653</v>
      </c>
      <c r="C24" s="9">
        <v>45784</v>
      </c>
      <c r="D24" s="9">
        <v>46867</v>
      </c>
      <c r="E24" s="9">
        <v>47904</v>
      </c>
      <c r="F24" s="9">
        <v>48765</v>
      </c>
      <c r="G24" s="9">
        <v>50283</v>
      </c>
      <c r="H24" s="9">
        <v>51411</v>
      </c>
      <c r="I24" s="9">
        <v>52516</v>
      </c>
      <c r="J24" s="9">
        <v>54342</v>
      </c>
      <c r="K24" s="9">
        <v>54724</v>
      </c>
      <c r="L24" s="9">
        <v>56145</v>
      </c>
      <c r="M24" s="9">
        <v>58164</v>
      </c>
      <c r="N24" s="9">
        <v>59916</v>
      </c>
      <c r="O24" s="9">
        <v>59796</v>
      </c>
      <c r="P24" s="9">
        <v>61252</v>
      </c>
      <c r="Q24" s="9">
        <v>63544</v>
      </c>
      <c r="R24" s="9">
        <v>65487</v>
      </c>
      <c r="S24" s="9">
        <v>68796</v>
      </c>
      <c r="T24" s="9">
        <v>72265</v>
      </c>
      <c r="U24" s="9">
        <v>72238</v>
      </c>
      <c r="V24" s="9">
        <v>74931</v>
      </c>
    </row>
    <row r="25" spans="1:22" ht="12.75">
      <c r="A25" t="s">
        <v>74</v>
      </c>
      <c r="B25" s="9">
        <v>24684</v>
      </c>
      <c r="C25" s="9">
        <v>25046</v>
      </c>
      <c r="D25" s="9">
        <v>25656</v>
      </c>
      <c r="E25" s="9">
        <v>26101</v>
      </c>
      <c r="F25" s="9">
        <v>26515</v>
      </c>
      <c r="G25" s="9">
        <v>26884</v>
      </c>
      <c r="H25" s="9">
        <v>27160</v>
      </c>
      <c r="I25" s="9">
        <v>27556</v>
      </c>
      <c r="J25" s="9">
        <v>28833</v>
      </c>
      <c r="K25" s="9">
        <v>29914</v>
      </c>
      <c r="L25" s="9">
        <v>32280</v>
      </c>
      <c r="M25" s="9">
        <v>32724</v>
      </c>
      <c r="N25" s="9">
        <v>33767</v>
      </c>
      <c r="O25" s="9">
        <v>33351</v>
      </c>
      <c r="P25" s="9">
        <v>33472</v>
      </c>
      <c r="Q25" s="9">
        <v>34150</v>
      </c>
      <c r="R25" s="9">
        <v>34000</v>
      </c>
      <c r="S25" s="9">
        <v>34007</v>
      </c>
      <c r="T25" s="9">
        <v>33996</v>
      </c>
      <c r="U25" s="9">
        <v>33604</v>
      </c>
      <c r="V25" s="9">
        <v>33940</v>
      </c>
    </row>
    <row r="26" spans="1:22" ht="12.75">
      <c r="A26" t="s">
        <v>73</v>
      </c>
      <c r="B26" s="59">
        <v>0.644</v>
      </c>
      <c r="C26" s="59">
        <v>0.646</v>
      </c>
      <c r="D26" s="59">
        <v>0.646</v>
      </c>
      <c r="E26" s="59">
        <v>0.647</v>
      </c>
      <c r="F26" s="59">
        <v>0.648</v>
      </c>
      <c r="G26" s="59">
        <v>0.652</v>
      </c>
      <c r="H26" s="59">
        <v>0.654</v>
      </c>
      <c r="I26" s="59">
        <v>0.656</v>
      </c>
      <c r="J26" s="59">
        <v>0.653</v>
      </c>
      <c r="K26" s="59">
        <v>0.647</v>
      </c>
      <c r="L26" s="59">
        <v>0.635</v>
      </c>
      <c r="M26" s="59">
        <v>0.6399524689728017</v>
      </c>
      <c r="N26" s="59">
        <v>0.6395610729801565</v>
      </c>
      <c r="O26" s="59">
        <v>0.6419530419659248</v>
      </c>
      <c r="P26" s="59">
        <v>0.6466365440648622</v>
      </c>
      <c r="Q26" s="59">
        <v>0.6504457842424739</v>
      </c>
      <c r="R26" s="59">
        <v>0.6582468061153719</v>
      </c>
      <c r="S26" s="59">
        <v>0.6692022606344172</v>
      </c>
      <c r="T26" s="59">
        <v>0.6800707691439004</v>
      </c>
      <c r="U26" s="59">
        <v>0.6825078891177415</v>
      </c>
      <c r="V26" s="59">
        <v>0.6882549071837312</v>
      </c>
    </row>
    <row r="27" spans="2:22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t="s">
        <v>82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s="59" t="s">
        <v>78</v>
      </c>
      <c r="B29" s="14" t="s">
        <v>242</v>
      </c>
      <c r="C29" s="9">
        <v>51325</v>
      </c>
      <c r="D29" s="9">
        <v>52294</v>
      </c>
      <c r="E29" s="9">
        <v>53074</v>
      </c>
      <c r="F29" s="9">
        <v>53699</v>
      </c>
      <c r="G29" s="9">
        <v>54877</v>
      </c>
      <c r="H29" s="9">
        <v>55491</v>
      </c>
      <c r="I29" s="9">
        <v>56015</v>
      </c>
      <c r="J29" s="9">
        <v>58026</v>
      </c>
      <c r="K29" s="9">
        <v>58654</v>
      </c>
      <c r="L29" s="9">
        <v>66230</v>
      </c>
      <c r="M29" s="9">
        <v>67744</v>
      </c>
      <c r="N29" s="9">
        <v>69293</v>
      </c>
      <c r="O29" s="9">
        <v>68497</v>
      </c>
      <c r="P29" s="9">
        <v>69090</v>
      </c>
      <c r="Q29" s="9">
        <v>70683</v>
      </c>
      <c r="R29" s="9">
        <v>71317</v>
      </c>
      <c r="S29" s="9">
        <v>73259</v>
      </c>
      <c r="T29" s="9">
        <v>79146</v>
      </c>
      <c r="U29" s="9">
        <v>78369</v>
      </c>
      <c r="V29" s="9">
        <v>81258</v>
      </c>
    </row>
    <row r="30" spans="1:22" ht="12.75">
      <c r="A30" s="59" t="s">
        <v>79</v>
      </c>
      <c r="B30" s="14" t="s">
        <v>242</v>
      </c>
      <c r="C30" s="9">
        <v>19505</v>
      </c>
      <c r="D30" s="9">
        <v>20229</v>
      </c>
      <c r="E30" s="9">
        <v>20931</v>
      </c>
      <c r="F30" s="9">
        <v>21581</v>
      </c>
      <c r="G30" s="9">
        <v>22290</v>
      </c>
      <c r="H30" s="9">
        <v>23080</v>
      </c>
      <c r="I30" s="9">
        <v>24056</v>
      </c>
      <c r="J30" s="9">
        <v>25149</v>
      </c>
      <c r="K30" s="9">
        <v>25984</v>
      </c>
      <c r="L30" s="9">
        <v>22195</v>
      </c>
      <c r="M30" s="9">
        <v>23143</v>
      </c>
      <c r="N30" s="9">
        <v>24390</v>
      </c>
      <c r="O30" s="9">
        <v>24650</v>
      </c>
      <c r="P30" s="9">
        <v>25633</v>
      </c>
      <c r="Q30" s="9">
        <v>27010</v>
      </c>
      <c r="R30" s="9">
        <v>28170</v>
      </c>
      <c r="S30" s="9">
        <v>29544</v>
      </c>
      <c r="T30" s="9">
        <v>27115</v>
      </c>
      <c r="U30" s="9">
        <v>27474</v>
      </c>
      <c r="V30" s="9">
        <v>27613</v>
      </c>
    </row>
    <row r="31" spans="1:22" ht="12.75">
      <c r="A31" s="5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6" spans="1:22" ht="12.75">
      <c r="A36" s="5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A1" sqref="A1:IV1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s="92" t="s">
        <v>116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92" t="s">
        <v>117</v>
      </c>
      <c r="B3" s="9">
        <v>13909</v>
      </c>
      <c r="C3" s="9">
        <v>13809</v>
      </c>
      <c r="D3" s="9">
        <v>14363</v>
      </c>
      <c r="E3" s="9">
        <v>14838</v>
      </c>
      <c r="F3" s="9">
        <v>15796</v>
      </c>
      <c r="G3" s="9">
        <v>17158</v>
      </c>
      <c r="H3" s="9">
        <v>17735</v>
      </c>
      <c r="I3" s="9">
        <v>17738</v>
      </c>
      <c r="J3" s="9">
        <v>18664</v>
      </c>
      <c r="K3" s="9">
        <v>18986</v>
      </c>
      <c r="L3" s="9">
        <v>20987</v>
      </c>
      <c r="M3" s="9">
        <v>21950</v>
      </c>
      <c r="N3" s="9">
        <v>22356</v>
      </c>
      <c r="O3" s="9">
        <v>22393</v>
      </c>
      <c r="P3" s="9">
        <v>22989</v>
      </c>
      <c r="Q3" s="9">
        <v>24070</v>
      </c>
      <c r="R3" s="9">
        <v>25263</v>
      </c>
      <c r="S3" s="9">
        <v>26901</v>
      </c>
      <c r="T3" s="9">
        <v>28149</v>
      </c>
      <c r="U3" s="9">
        <v>28171</v>
      </c>
      <c r="V3" s="9">
        <v>29181</v>
      </c>
    </row>
    <row r="4" spans="1:22" ht="12.75">
      <c r="A4" s="92" t="s">
        <v>118</v>
      </c>
      <c r="B4" s="9">
        <v>21035</v>
      </c>
      <c r="C4" s="9">
        <v>21679</v>
      </c>
      <c r="D4" s="9">
        <v>22500</v>
      </c>
      <c r="E4" s="9">
        <v>23027</v>
      </c>
      <c r="F4" s="9">
        <v>23243</v>
      </c>
      <c r="G4" s="9">
        <v>23829</v>
      </c>
      <c r="H4" s="9">
        <v>24357</v>
      </c>
      <c r="I4" s="9">
        <v>25038</v>
      </c>
      <c r="J4" s="9">
        <v>26112</v>
      </c>
      <c r="K4" s="9">
        <v>26674</v>
      </c>
      <c r="L4" s="9">
        <v>28238</v>
      </c>
      <c r="M4" s="9">
        <v>29109</v>
      </c>
      <c r="N4" s="9">
        <v>30108</v>
      </c>
      <c r="O4" s="9">
        <v>30589</v>
      </c>
      <c r="P4" s="9">
        <v>31304</v>
      </c>
      <c r="Q4" s="9">
        <v>31931</v>
      </c>
      <c r="R4" s="9">
        <v>32473</v>
      </c>
      <c r="S4" s="9">
        <v>33817</v>
      </c>
      <c r="T4" s="9">
        <v>34653</v>
      </c>
      <c r="U4" s="9">
        <v>34424</v>
      </c>
      <c r="V4" s="9">
        <v>35569</v>
      </c>
    </row>
    <row r="5" spans="1:22" ht="12.75">
      <c r="A5" s="92" t="s">
        <v>119</v>
      </c>
      <c r="B5" s="9">
        <v>11900</v>
      </c>
      <c r="C5" s="9">
        <v>12233</v>
      </c>
      <c r="D5" s="9">
        <v>12583</v>
      </c>
      <c r="E5" s="9">
        <v>12713</v>
      </c>
      <c r="F5" s="9">
        <v>12954</v>
      </c>
      <c r="G5" s="9">
        <v>13282</v>
      </c>
      <c r="H5" s="9">
        <v>13629</v>
      </c>
      <c r="I5" s="9">
        <v>13816</v>
      </c>
      <c r="J5" s="9">
        <v>14461</v>
      </c>
      <c r="K5" s="9">
        <v>15032</v>
      </c>
      <c r="L5" s="9">
        <v>15445</v>
      </c>
      <c r="M5" s="9">
        <v>16054</v>
      </c>
      <c r="N5" s="9">
        <v>16229</v>
      </c>
      <c r="O5" s="9">
        <v>16290</v>
      </c>
      <c r="P5" s="9">
        <v>16306</v>
      </c>
      <c r="Q5" s="9">
        <v>16623</v>
      </c>
      <c r="R5" s="9">
        <v>16507</v>
      </c>
      <c r="S5" s="9">
        <v>16643</v>
      </c>
      <c r="T5" s="9">
        <v>17178</v>
      </c>
      <c r="U5" s="9">
        <v>17326</v>
      </c>
      <c r="V5" s="9">
        <v>17314</v>
      </c>
    </row>
    <row r="6" spans="1:22" ht="12.75">
      <c r="A6" s="92" t="s">
        <v>120</v>
      </c>
      <c r="B6" s="9">
        <v>10433</v>
      </c>
      <c r="C6" s="9">
        <v>10994</v>
      </c>
      <c r="D6" s="9">
        <v>11261</v>
      </c>
      <c r="E6" s="9">
        <v>11632</v>
      </c>
      <c r="F6" s="9">
        <v>11937</v>
      </c>
      <c r="G6" s="9">
        <v>12116</v>
      </c>
      <c r="H6" s="9">
        <v>12262</v>
      </c>
      <c r="I6" s="9">
        <v>12841</v>
      </c>
      <c r="J6" s="9">
        <v>13418</v>
      </c>
      <c r="K6" s="9">
        <v>13774</v>
      </c>
      <c r="L6" s="9">
        <v>13956</v>
      </c>
      <c r="M6" s="9">
        <v>14177</v>
      </c>
      <c r="N6" s="9">
        <v>14606</v>
      </c>
      <c r="O6" s="9">
        <v>14140</v>
      </c>
      <c r="P6" s="9">
        <v>14396</v>
      </c>
      <c r="Q6" s="9">
        <v>14907</v>
      </c>
      <c r="R6" s="9">
        <v>14889</v>
      </c>
      <c r="S6" s="9">
        <v>15210</v>
      </c>
      <c r="T6" s="9">
        <v>15619</v>
      </c>
      <c r="U6" s="9">
        <v>15319</v>
      </c>
      <c r="V6" s="9">
        <v>15828</v>
      </c>
    </row>
    <row r="7" spans="1:22" ht="12.75">
      <c r="A7" s="92" t="s">
        <v>121</v>
      </c>
      <c r="B7" s="9">
        <v>6293</v>
      </c>
      <c r="C7" s="9">
        <v>6367</v>
      </c>
      <c r="D7" s="9">
        <v>6306</v>
      </c>
      <c r="E7" s="9">
        <v>6518</v>
      </c>
      <c r="F7" s="9">
        <v>6417</v>
      </c>
      <c r="G7" s="9">
        <v>6166</v>
      </c>
      <c r="H7" s="9">
        <v>6224</v>
      </c>
      <c r="I7" s="9">
        <v>6189</v>
      </c>
      <c r="J7" s="9">
        <v>6413</v>
      </c>
      <c r="K7" s="9">
        <v>6216</v>
      </c>
      <c r="L7" s="9">
        <v>6291</v>
      </c>
      <c r="M7" s="9">
        <v>6260</v>
      </c>
      <c r="N7" s="9">
        <v>6617</v>
      </c>
      <c r="O7" s="9">
        <v>6244</v>
      </c>
      <c r="P7" s="9">
        <v>6272</v>
      </c>
      <c r="Q7" s="9">
        <v>6515</v>
      </c>
      <c r="R7" s="9">
        <v>6487</v>
      </c>
      <c r="S7" s="9">
        <v>6652</v>
      </c>
      <c r="T7" s="9">
        <v>6846</v>
      </c>
      <c r="U7" s="9">
        <v>6846</v>
      </c>
      <c r="V7" s="9">
        <v>7003</v>
      </c>
    </row>
    <row r="8" spans="1:22" ht="12.75">
      <c r="A8" s="92" t="s">
        <v>122</v>
      </c>
      <c r="B8" s="9">
        <v>3094</v>
      </c>
      <c r="C8" s="9">
        <v>3132</v>
      </c>
      <c r="D8" s="9">
        <v>3057</v>
      </c>
      <c r="E8" s="9">
        <v>3029</v>
      </c>
      <c r="F8" s="9">
        <v>2873</v>
      </c>
      <c r="G8" s="9">
        <v>2705</v>
      </c>
      <c r="H8" s="9">
        <v>2611</v>
      </c>
      <c r="I8" s="9">
        <v>2695</v>
      </c>
      <c r="J8" s="9">
        <v>2458</v>
      </c>
      <c r="K8" s="9">
        <v>2431</v>
      </c>
      <c r="L8" s="9">
        <v>2185</v>
      </c>
      <c r="M8" s="9">
        <v>2048</v>
      </c>
      <c r="N8" s="9">
        <v>2339</v>
      </c>
      <c r="O8" s="9">
        <v>2107</v>
      </c>
      <c r="P8" s="9">
        <v>2176</v>
      </c>
      <c r="Q8" s="9">
        <v>2370</v>
      </c>
      <c r="R8" s="9">
        <v>2374</v>
      </c>
      <c r="S8" s="9">
        <v>2280</v>
      </c>
      <c r="T8" s="9">
        <v>2367</v>
      </c>
      <c r="U8" s="9">
        <v>2414</v>
      </c>
      <c r="V8" s="9">
        <v>2552</v>
      </c>
    </row>
    <row r="9" spans="1:22" ht="12.75">
      <c r="A9" s="92" t="s">
        <v>123</v>
      </c>
      <c r="B9" s="9">
        <v>2673</v>
      </c>
      <c r="C9" s="9">
        <v>2616</v>
      </c>
      <c r="D9" s="9">
        <v>2455</v>
      </c>
      <c r="E9" s="9">
        <v>2248</v>
      </c>
      <c r="F9" s="9">
        <v>2059</v>
      </c>
      <c r="G9" s="9">
        <v>1912</v>
      </c>
      <c r="H9" s="9">
        <v>1754</v>
      </c>
      <c r="I9" s="9">
        <v>1755</v>
      </c>
      <c r="J9" s="9">
        <v>1651</v>
      </c>
      <c r="K9" s="9">
        <v>1524</v>
      </c>
      <c r="L9" s="9">
        <v>1324</v>
      </c>
      <c r="M9" s="9">
        <v>1289</v>
      </c>
      <c r="N9" s="9">
        <v>1429</v>
      </c>
      <c r="O9" s="9">
        <v>1384</v>
      </c>
      <c r="P9" s="9">
        <v>1280</v>
      </c>
      <c r="Q9" s="9">
        <v>1278</v>
      </c>
      <c r="R9" s="9">
        <v>1494</v>
      </c>
      <c r="S9" s="9">
        <v>1300</v>
      </c>
      <c r="T9" s="9">
        <v>1449</v>
      </c>
      <c r="U9" s="9">
        <v>1343</v>
      </c>
      <c r="V9" s="9">
        <v>1425</v>
      </c>
    </row>
    <row r="10" spans="1:22" ht="12.75">
      <c r="A10" s="92" t="s">
        <v>86</v>
      </c>
      <c r="B10" s="30">
        <v>2.486902781079154</v>
      </c>
      <c r="C10" s="30">
        <v>2.4966326860095025</v>
      </c>
      <c r="D10" s="30">
        <v>2.4733111111111112</v>
      </c>
      <c r="E10" s="30">
        <v>2.462543970122031</v>
      </c>
      <c r="F10" s="30">
        <v>2.439788323366175</v>
      </c>
      <c r="G10" s="30">
        <v>2.3991564899911872</v>
      </c>
      <c r="H10" s="30">
        <v>2.384796978281398</v>
      </c>
      <c r="I10" s="30">
        <v>2.39056633916447</v>
      </c>
      <c r="J10" s="30">
        <v>2.3779296875</v>
      </c>
      <c r="K10" s="30">
        <v>2.37472819974507</v>
      </c>
      <c r="L10" s="30">
        <v>2.322508676251859</v>
      </c>
      <c r="M10" s="30">
        <v>2.3070871551753753</v>
      </c>
      <c r="N10" s="30">
        <v>2.3132722200079714</v>
      </c>
      <c r="O10" s="30">
        <v>2.2904965837392526</v>
      </c>
      <c r="P10" s="30">
        <v>2.2785746230513673</v>
      </c>
      <c r="Q10" s="30">
        <v>2.2759544016786197</v>
      </c>
      <c r="R10" s="30">
        <v>2.253872447879777</v>
      </c>
      <c r="S10" s="30">
        <v>2.2245024691723096</v>
      </c>
      <c r="T10" s="30">
        <v>2.2209043950018756</v>
      </c>
      <c r="U10" s="30">
        <v>2.218989658377876</v>
      </c>
      <c r="V10" s="30">
        <v>2.2100283955129467</v>
      </c>
    </row>
    <row r="11" spans="1:22" ht="12.75">
      <c r="A11" s="9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92" t="s">
        <v>124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s="92" t="s">
        <v>126</v>
      </c>
      <c r="B13" s="9">
        <v>13909</v>
      </c>
      <c r="C13" s="9">
        <v>13809</v>
      </c>
      <c r="D13" s="9">
        <v>14363</v>
      </c>
      <c r="E13" s="9">
        <v>14838</v>
      </c>
      <c r="F13" s="9">
        <v>15796</v>
      </c>
      <c r="G13" s="9">
        <v>17158</v>
      </c>
      <c r="H13" s="9">
        <v>17735</v>
      </c>
      <c r="I13" s="9">
        <v>17738</v>
      </c>
      <c r="J13" s="9">
        <v>18664</v>
      </c>
      <c r="K13" s="9">
        <v>18986</v>
      </c>
      <c r="L13" s="9">
        <v>20987</v>
      </c>
      <c r="M13" s="9">
        <v>21950</v>
      </c>
      <c r="N13" s="9">
        <v>22356</v>
      </c>
      <c r="O13" s="9">
        <v>22393</v>
      </c>
      <c r="P13" s="9">
        <v>22989</v>
      </c>
      <c r="Q13" s="9">
        <v>24070</v>
      </c>
      <c r="R13" s="9">
        <v>25263</v>
      </c>
      <c r="S13" s="9">
        <v>26901</v>
      </c>
      <c r="T13" s="9">
        <v>28149</v>
      </c>
      <c r="U13" s="9">
        <v>28171</v>
      </c>
      <c r="V13" s="9">
        <v>29181</v>
      </c>
    </row>
    <row r="14" spans="1:22" ht="12.75">
      <c r="A14" s="92" t="s">
        <v>125</v>
      </c>
      <c r="B14" s="9">
        <v>45520</v>
      </c>
      <c r="C14" s="9">
        <v>46630</v>
      </c>
      <c r="D14" s="9">
        <v>46944</v>
      </c>
      <c r="E14" s="9">
        <v>47399</v>
      </c>
      <c r="F14" s="9">
        <v>47022</v>
      </c>
      <c r="G14" s="9">
        <v>46657</v>
      </c>
      <c r="H14" s="9">
        <v>47121</v>
      </c>
      <c r="I14" s="9">
        <v>47327</v>
      </c>
      <c r="J14" s="9">
        <v>49959</v>
      </c>
      <c r="K14" s="9">
        <v>50521</v>
      </c>
      <c r="L14" s="9">
        <v>49972</v>
      </c>
      <c r="M14" s="9">
        <v>50491</v>
      </c>
      <c r="N14" s="9">
        <v>50217</v>
      </c>
      <c r="O14" s="9">
        <v>49745</v>
      </c>
      <c r="P14" s="9">
        <v>49683</v>
      </c>
      <c r="Q14" s="9">
        <v>50757</v>
      </c>
      <c r="R14" s="9">
        <v>52258</v>
      </c>
      <c r="S14" s="9">
        <v>53169</v>
      </c>
      <c r="T14" s="9">
        <v>53710</v>
      </c>
      <c r="U14" s="9">
        <v>53542</v>
      </c>
      <c r="V14" s="9">
        <v>54668</v>
      </c>
    </row>
    <row r="15" spans="1:22" ht="12.75">
      <c r="A15" s="92" t="s">
        <v>127</v>
      </c>
      <c r="B15" s="9">
        <v>3032</v>
      </c>
      <c r="C15" s="9">
        <v>2800</v>
      </c>
      <c r="D15" s="9">
        <v>3141</v>
      </c>
      <c r="E15" s="9">
        <v>3359</v>
      </c>
      <c r="F15" s="9">
        <v>3718</v>
      </c>
      <c r="G15" s="9">
        <v>3879</v>
      </c>
      <c r="H15" s="9">
        <v>4022</v>
      </c>
      <c r="I15" s="9">
        <v>4264</v>
      </c>
      <c r="J15" s="9">
        <v>4675</v>
      </c>
      <c r="K15" s="9">
        <v>4840</v>
      </c>
      <c r="L15" s="9">
        <v>5661</v>
      </c>
      <c r="M15" s="9">
        <v>6067</v>
      </c>
      <c r="N15" s="9">
        <v>7542</v>
      </c>
      <c r="O15" s="9">
        <v>7298</v>
      </c>
      <c r="P15" s="9">
        <v>7765</v>
      </c>
      <c r="Q15" s="9">
        <v>7971</v>
      </c>
      <c r="R15" s="9">
        <v>7716</v>
      </c>
      <c r="S15" s="9">
        <v>8035</v>
      </c>
      <c r="T15" s="9">
        <v>8581</v>
      </c>
      <c r="U15" s="9">
        <v>8501</v>
      </c>
      <c r="V15" s="9">
        <v>8897</v>
      </c>
    </row>
    <row r="16" spans="1:22" ht="12.75">
      <c r="A16" s="92" t="s">
        <v>128</v>
      </c>
      <c r="B16" s="9">
        <v>6877</v>
      </c>
      <c r="C16" s="9">
        <v>7590</v>
      </c>
      <c r="D16" s="9">
        <v>8075</v>
      </c>
      <c r="E16" s="9">
        <v>8409</v>
      </c>
      <c r="F16" s="9">
        <v>8744</v>
      </c>
      <c r="G16" s="9">
        <v>9473</v>
      </c>
      <c r="H16" s="9">
        <v>9694</v>
      </c>
      <c r="I16" s="9">
        <v>10743</v>
      </c>
      <c r="J16" s="9">
        <v>9877</v>
      </c>
      <c r="K16" s="9">
        <v>10291</v>
      </c>
      <c r="L16" s="9">
        <v>11806</v>
      </c>
      <c r="M16" s="9">
        <v>12379</v>
      </c>
      <c r="N16" s="9">
        <v>13568</v>
      </c>
      <c r="O16" s="9">
        <v>13712</v>
      </c>
      <c r="P16" s="9">
        <v>14287</v>
      </c>
      <c r="Q16" s="9">
        <v>14895</v>
      </c>
      <c r="R16" s="9">
        <v>14250</v>
      </c>
      <c r="S16" s="9">
        <v>14697</v>
      </c>
      <c r="T16" s="9">
        <v>15821</v>
      </c>
      <c r="U16" s="9">
        <v>15629</v>
      </c>
      <c r="V16" s="9">
        <v>16125</v>
      </c>
    </row>
    <row r="17" spans="1:22" ht="12.75">
      <c r="A17" s="9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02" t="s">
        <v>62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02" t="s">
        <v>63</v>
      </c>
      <c r="B19" s="9">
        <v>29491</v>
      </c>
      <c r="C19" s="9">
        <v>29827</v>
      </c>
      <c r="D19" s="9">
        <v>29888</v>
      </c>
      <c r="E19" s="9">
        <v>30279</v>
      </c>
      <c r="F19" s="9">
        <v>30346</v>
      </c>
      <c r="G19" s="9">
        <v>30352</v>
      </c>
      <c r="H19" s="9">
        <v>30476</v>
      </c>
      <c r="I19" s="9">
        <v>30773</v>
      </c>
      <c r="J19" s="9">
        <v>31277</v>
      </c>
      <c r="K19" s="9">
        <v>31273</v>
      </c>
      <c r="L19" s="9">
        <v>33964</v>
      </c>
      <c r="M19" s="9">
        <v>34213</v>
      </c>
      <c r="N19" s="9">
        <v>35704</v>
      </c>
      <c r="O19" s="9">
        <v>34588</v>
      </c>
      <c r="P19" s="9">
        <v>35429</v>
      </c>
      <c r="Q19" s="9">
        <v>37236</v>
      </c>
      <c r="R19" s="9">
        <v>36869</v>
      </c>
      <c r="S19" s="9">
        <v>37272</v>
      </c>
      <c r="T19" s="9">
        <v>38682</v>
      </c>
      <c r="U19" s="9">
        <v>38158</v>
      </c>
      <c r="V19" s="9">
        <v>38493</v>
      </c>
    </row>
    <row r="20" spans="1:22" ht="12.75">
      <c r="A20" s="92" t="s">
        <v>33</v>
      </c>
      <c r="B20" s="9">
        <v>39846</v>
      </c>
      <c r="C20" s="9">
        <v>41003</v>
      </c>
      <c r="D20" s="9">
        <v>42635</v>
      </c>
      <c r="E20" s="9">
        <v>43726</v>
      </c>
      <c r="F20" s="9">
        <v>44934</v>
      </c>
      <c r="G20" s="9">
        <v>46815</v>
      </c>
      <c r="H20" s="9">
        <v>48096</v>
      </c>
      <c r="I20" s="9">
        <v>49299</v>
      </c>
      <c r="J20" s="9">
        <v>51898</v>
      </c>
      <c r="K20" s="9">
        <v>53365</v>
      </c>
      <c r="L20" s="9">
        <v>54461</v>
      </c>
      <c r="M20" s="9">
        <v>56675</v>
      </c>
      <c r="N20" s="9">
        <v>57979</v>
      </c>
      <c r="O20" s="9">
        <v>58559</v>
      </c>
      <c r="P20" s="9">
        <v>59295</v>
      </c>
      <c r="Q20" s="9">
        <v>60458</v>
      </c>
      <c r="R20" s="9">
        <v>62618</v>
      </c>
      <c r="S20" s="9">
        <v>65530</v>
      </c>
      <c r="T20" s="9">
        <v>67579</v>
      </c>
      <c r="U20" s="9">
        <v>67684</v>
      </c>
      <c r="V20" s="9">
        <v>70378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0">
      <selection activeCell="A29" sqref="A29:IV31"/>
    </sheetView>
  </sheetViews>
  <sheetFormatPr defaultColWidth="9.140625" defaultRowHeight="12.75"/>
  <cols>
    <col min="1" max="1" width="23.421875" style="0" customWidth="1"/>
  </cols>
  <sheetData>
    <row r="1" spans="2:22" ht="12.75">
      <c r="B1" s="82">
        <v>1973</v>
      </c>
      <c r="C1" s="82">
        <v>1974</v>
      </c>
      <c r="D1" s="82">
        <v>1975</v>
      </c>
      <c r="E1" s="82">
        <v>1976</v>
      </c>
      <c r="F1" s="82">
        <v>1977</v>
      </c>
      <c r="G1" s="82">
        <v>1978</v>
      </c>
      <c r="H1" s="82">
        <v>1979</v>
      </c>
      <c r="I1" s="82">
        <v>1980</v>
      </c>
      <c r="J1" s="82">
        <v>1981</v>
      </c>
      <c r="K1" s="82">
        <v>1983</v>
      </c>
      <c r="L1" s="82">
        <v>1985</v>
      </c>
      <c r="M1" s="84">
        <v>1987</v>
      </c>
      <c r="N1" s="84">
        <v>1989</v>
      </c>
      <c r="O1" s="84">
        <v>1991</v>
      </c>
      <c r="P1" s="84">
        <v>1993</v>
      </c>
      <c r="Q1" s="84">
        <v>1995</v>
      </c>
      <c r="R1">
        <v>1997</v>
      </c>
      <c r="S1">
        <v>1999</v>
      </c>
      <c r="T1">
        <v>2001</v>
      </c>
      <c r="U1">
        <v>2003</v>
      </c>
      <c r="V1">
        <v>2005</v>
      </c>
    </row>
    <row r="2" spans="1:22" ht="12.75">
      <c r="A2" t="s">
        <v>149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t="s">
        <v>35</v>
      </c>
      <c r="B3" s="59">
        <v>0.2327791599204939</v>
      </c>
      <c r="C3" s="59">
        <v>0.23254854963209237</v>
      </c>
      <c r="D3" s="59">
        <v>0.22826760403100382</v>
      </c>
      <c r="E3" s="59">
        <v>0.22604814480533128</v>
      </c>
      <c r="F3" s="59">
        <v>0.22308905605435575</v>
      </c>
      <c r="G3" s="59">
        <v>0.2218440520929353</v>
      </c>
      <c r="H3" s="59">
        <v>0.21942945793873156</v>
      </c>
      <c r="I3" s="59">
        <v>0.21848606119695715</v>
      </c>
      <c r="J3" s="59">
        <v>0.21643494500933805</v>
      </c>
      <c r="K3" s="59">
        <v>0.21442701483121077</v>
      </c>
      <c r="L3" s="59">
        <v>0.20878406100209143</v>
      </c>
      <c r="M3" s="59">
        <v>0.20617231033004715</v>
      </c>
      <c r="N3" s="59">
        <v>0.20564825242994103</v>
      </c>
      <c r="O3" s="59">
        <v>0.20166934373565856</v>
      </c>
      <c r="P3" s="59">
        <v>0.198450441324066</v>
      </c>
      <c r="Q3" s="59">
        <v>0.1960678622655472</v>
      </c>
      <c r="R3" s="59">
        <v>0.19381079950514876</v>
      </c>
      <c r="S3" s="59">
        <v>0.1910232271611151</v>
      </c>
      <c r="T3" s="59">
        <v>0.1876054635358513</v>
      </c>
      <c r="U3" s="59">
        <v>0.1871382796393353</v>
      </c>
      <c r="V3" s="59">
        <v>0.18362719795460575</v>
      </c>
    </row>
    <row r="4" spans="1:22" ht="12.75">
      <c r="A4" s="59" t="s">
        <v>36</v>
      </c>
      <c r="B4" s="59">
        <v>0.2678987481735971</v>
      </c>
      <c r="C4" s="59">
        <v>0.2652672001649463</v>
      </c>
      <c r="D4" s="59">
        <v>0.26597291590274</v>
      </c>
      <c r="E4" s="59">
        <v>0.264351330967718</v>
      </c>
      <c r="F4" s="59">
        <v>0.2623392380490172</v>
      </c>
      <c r="G4" s="59">
        <v>0.2603228627478787</v>
      </c>
      <c r="H4" s="59">
        <v>0.2604371685924005</v>
      </c>
      <c r="I4" s="59">
        <v>0.2584828868457152</v>
      </c>
      <c r="J4" s="59">
        <v>0.2583523552604275</v>
      </c>
      <c r="K4" s="59">
        <v>0.2552850222949347</v>
      </c>
      <c r="L4" s="59">
        <v>0.24581961553471895</v>
      </c>
      <c r="M4" s="59">
        <v>0.23873865097611346</v>
      </c>
      <c r="N4" s="59">
        <v>0.23915162642791568</v>
      </c>
      <c r="O4" s="59">
        <v>0.23889972464433226</v>
      </c>
      <c r="P4" s="59">
        <v>0.23899972798304114</v>
      </c>
      <c r="Q4" s="59">
        <v>0.23804781786454954</v>
      </c>
      <c r="R4" s="59">
        <v>0.2365673700793008</v>
      </c>
      <c r="S4" s="59">
        <v>0.23493531621736527</v>
      </c>
      <c r="T4" s="59">
        <v>0.23294743823299782</v>
      </c>
      <c r="U4" s="59">
        <v>0.23094628944252632</v>
      </c>
      <c r="V4" s="59">
        <v>0.23028373413090844</v>
      </c>
    </row>
    <row r="5" spans="1:22" ht="12.75">
      <c r="A5" s="59" t="s">
        <v>37</v>
      </c>
      <c r="B5" s="59">
        <v>0.3171688451868525</v>
      </c>
      <c r="C5" s="59">
        <v>0.31893918892797773</v>
      </c>
      <c r="D5" s="59">
        <v>0.3207101040626146</v>
      </c>
      <c r="E5" s="59">
        <v>0.32288176456769824</v>
      </c>
      <c r="F5" s="59">
        <v>0.3253579228342635</v>
      </c>
      <c r="G5" s="59">
        <v>0.32618355432650264</v>
      </c>
      <c r="H5" s="59">
        <v>0.32730914395535693</v>
      </c>
      <c r="I5" s="59">
        <v>0.3294183001349099</v>
      </c>
      <c r="J5" s="59">
        <v>0.3301187186684287</v>
      </c>
      <c r="K5" s="59">
        <v>0.3330873940054962</v>
      </c>
      <c r="L5" s="59">
        <v>0.3483903893686644</v>
      </c>
      <c r="M5" s="59">
        <v>0.35416747847095037</v>
      </c>
      <c r="N5" s="59">
        <v>0.3548234447904146</v>
      </c>
      <c r="O5" s="59">
        <v>0.3535930090255469</v>
      </c>
      <c r="P5" s="59">
        <v>0.3553667070002157</v>
      </c>
      <c r="Q5" s="59">
        <v>0.35765643129265373</v>
      </c>
      <c r="R5" s="59">
        <v>0.35959486280338565</v>
      </c>
      <c r="S5" s="59">
        <v>0.36284521877955456</v>
      </c>
      <c r="T5" s="59">
        <v>0.36578322153848736</v>
      </c>
      <c r="U5" s="59">
        <v>0.3697641107164444</v>
      </c>
      <c r="V5" s="59">
        <v>0.37305932768920297</v>
      </c>
    </row>
    <row r="6" spans="1:22" ht="12.75">
      <c r="A6" s="59" t="s">
        <v>38</v>
      </c>
      <c r="B6" s="59">
        <v>0.18215324671905644</v>
      </c>
      <c r="C6" s="59">
        <v>0.18325794770685944</v>
      </c>
      <c r="D6" s="59">
        <v>0.18504937600364155</v>
      </c>
      <c r="E6" s="59">
        <v>0.18671875965925247</v>
      </c>
      <c r="F6" s="59">
        <v>0.18920165008493084</v>
      </c>
      <c r="G6" s="59">
        <v>0.19166134864922357</v>
      </c>
      <c r="H6" s="59">
        <v>0.19283580707157247</v>
      </c>
      <c r="I6" s="59">
        <v>0.19361275182241772</v>
      </c>
      <c r="J6" s="59">
        <v>0.19508305938117756</v>
      </c>
      <c r="K6" s="59">
        <v>0.1972112618826121</v>
      </c>
      <c r="L6" s="59">
        <v>0.19700593409452521</v>
      </c>
      <c r="M6" s="59">
        <v>0.20092156022288898</v>
      </c>
      <c r="N6" s="59">
        <v>0.2003672121217857</v>
      </c>
      <c r="O6" s="59">
        <v>0.20582836163377696</v>
      </c>
      <c r="P6" s="59">
        <v>0.2071831236926771</v>
      </c>
      <c r="Q6" s="59">
        <v>0.20821875256950217</v>
      </c>
      <c r="R6" s="59">
        <v>0.2100358678141994</v>
      </c>
      <c r="S6" s="59">
        <v>0.21120491440569877</v>
      </c>
      <c r="T6" s="59">
        <v>0.21365548158533207</v>
      </c>
      <c r="U6" s="59">
        <v>0.21215132020169403</v>
      </c>
      <c r="V6" s="59">
        <v>0.21302974022528282</v>
      </c>
    </row>
    <row r="7" spans="1:22" ht="12.75">
      <c r="A7" s="5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2.75">
      <c r="A8" t="s">
        <v>150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t="s">
        <v>39</v>
      </c>
      <c r="B9" s="59">
        <v>0.673208808856244</v>
      </c>
      <c r="C9" s="59">
        <v>0.6709449620494581</v>
      </c>
      <c r="D9" s="59">
        <v>0.6705400381857954</v>
      </c>
      <c r="E9" s="59">
        <v>0.6668315179090268</v>
      </c>
      <c r="F9" s="59">
        <v>0.6660640621208445</v>
      </c>
      <c r="G9" s="59">
        <v>0.6663357678035406</v>
      </c>
      <c r="H9" s="59">
        <v>0.6655243476046032</v>
      </c>
      <c r="I9" s="59">
        <v>0.6629519199156529</v>
      </c>
      <c r="J9" s="59">
        <v>0.6654361573158878</v>
      </c>
      <c r="K9" s="59">
        <v>0.6660999369112159</v>
      </c>
      <c r="L9" s="59">
        <v>0.759053747085489</v>
      </c>
      <c r="M9" s="59">
        <v>0.7609009079219109</v>
      </c>
      <c r="N9" s="59">
        <v>0.7659969146610386</v>
      </c>
      <c r="O9" s="59">
        <v>0.7643892458314211</v>
      </c>
      <c r="P9" s="59">
        <v>0.762519815028468</v>
      </c>
      <c r="Q9" s="59">
        <v>0.7614771097325891</v>
      </c>
      <c r="R9" s="59">
        <v>0.7606646670879429</v>
      </c>
      <c r="S9" s="59">
        <v>0.7609086097541929</v>
      </c>
      <c r="T9" s="59">
        <v>0.7812318980498165</v>
      </c>
      <c r="U9" s="59">
        <v>0.7823343848580442</v>
      </c>
      <c r="V9" s="59">
        <v>0.7621827186698505</v>
      </c>
    </row>
    <row r="10" spans="1:22" ht="12.75">
      <c r="A10" s="59" t="s">
        <v>40</v>
      </c>
      <c r="B10" s="59">
        <v>0.31753741657781465</v>
      </c>
      <c r="C10" s="59">
        <v>0.3103181660030154</v>
      </c>
      <c r="D10" s="59">
        <v>0.3065611288833816</v>
      </c>
      <c r="E10" s="59">
        <v>0.303853809918275</v>
      </c>
      <c r="F10" s="59">
        <v>0.3016258189759767</v>
      </c>
      <c r="G10" s="59">
        <v>0.2979626084284668</v>
      </c>
      <c r="H10" s="59">
        <v>0.2943246810382754</v>
      </c>
      <c r="I10" s="59">
        <v>0.28921740904916843</v>
      </c>
      <c r="J10" s="59">
        <v>0.2902436626948155</v>
      </c>
      <c r="K10" s="59">
        <v>0.29145948951549955</v>
      </c>
      <c r="L10" s="59">
        <v>0.32687554412544656</v>
      </c>
      <c r="M10" s="59">
        <v>0.32541012352413984</v>
      </c>
      <c r="N10" s="59">
        <v>0.3188025856276204</v>
      </c>
      <c r="O10" s="59">
        <v>0.3147946305644791</v>
      </c>
      <c r="P10" s="59">
        <v>0.3108497247000779</v>
      </c>
      <c r="Q10" s="59">
        <v>0.30617502763642346</v>
      </c>
      <c r="R10" s="59">
        <v>0.30315868170207466</v>
      </c>
      <c r="S10" s="59">
        <v>0.2989596800083295</v>
      </c>
      <c r="T10" s="59">
        <v>0.2944667847578431</v>
      </c>
      <c r="U10" s="59">
        <v>0.2915869743411411</v>
      </c>
      <c r="V10" s="59">
        <v>0.28804360934899537</v>
      </c>
    </row>
    <row r="11" spans="1:22" ht="12.75">
      <c r="A11" s="59" t="s">
        <v>41</v>
      </c>
      <c r="B11" s="59">
        <v>0.35567139227842937</v>
      </c>
      <c r="C11" s="59">
        <v>0.3606267960464427</v>
      </c>
      <c r="D11" s="59">
        <v>0.36396626499930457</v>
      </c>
      <c r="E11" s="59">
        <v>0.36299007183392884</v>
      </c>
      <c r="F11" s="59">
        <v>0.3644382431448677</v>
      </c>
      <c r="G11" s="59">
        <v>0.36837315937507387</v>
      </c>
      <c r="H11" s="59">
        <v>0.37119966656632786</v>
      </c>
      <c r="I11" s="59">
        <v>0.3737458478352058</v>
      </c>
      <c r="J11" s="59">
        <v>0.3751924946210723</v>
      </c>
      <c r="K11" s="59">
        <v>0.3746404473957164</v>
      </c>
      <c r="L11" s="59">
        <v>0.43217820296004245</v>
      </c>
      <c r="M11" s="59">
        <v>0.4354907843977711</v>
      </c>
      <c r="N11" s="59">
        <v>0.4471943290334182</v>
      </c>
      <c r="O11" s="59">
        <v>0.449594615266942</v>
      </c>
      <c r="P11" s="59">
        <v>0.4516700903283901</v>
      </c>
      <c r="Q11" s="59">
        <v>0.45530208209616563</v>
      </c>
      <c r="R11" s="59">
        <v>0.4575059853858683</v>
      </c>
      <c r="S11" s="59">
        <v>0.46194892974586343</v>
      </c>
      <c r="T11" s="59">
        <v>0.4867735083993049</v>
      </c>
      <c r="U11" s="59">
        <v>0.49074741051690307</v>
      </c>
      <c r="V11" s="59">
        <v>0.4741310692491377</v>
      </c>
    </row>
    <row r="12" spans="1:22" ht="12.75">
      <c r="A12" t="s">
        <v>42</v>
      </c>
      <c r="B12" s="59">
        <v>0.326791191143756</v>
      </c>
      <c r="C12" s="59">
        <v>0.32905503795054186</v>
      </c>
      <c r="D12" s="59">
        <v>0.3294726061173138</v>
      </c>
      <c r="E12" s="59">
        <v>0.33316848209097316</v>
      </c>
      <c r="F12" s="59">
        <v>0.33393593787915554</v>
      </c>
      <c r="G12" s="59">
        <v>0.3336760500129996</v>
      </c>
      <c r="H12" s="59">
        <v>0.3344756523953968</v>
      </c>
      <c r="I12" s="59">
        <v>0.33704808008434706</v>
      </c>
      <c r="J12" s="59">
        <v>0.3345638426841122</v>
      </c>
      <c r="K12" s="59">
        <v>0.3339000630887841</v>
      </c>
      <c r="L12" s="59">
        <v>0.24094625291451102</v>
      </c>
      <c r="M12" s="59">
        <v>0.23909909207808908</v>
      </c>
      <c r="N12" s="59">
        <v>0.2340030853389614</v>
      </c>
      <c r="O12" s="59">
        <v>0.23561075416857885</v>
      </c>
      <c r="P12" s="59">
        <v>0.237480184971532</v>
      </c>
      <c r="Q12" s="59">
        <v>0.23852289026741094</v>
      </c>
      <c r="R12" s="59">
        <v>0.2393353329120571</v>
      </c>
      <c r="S12" s="59">
        <v>0.23908271368207334</v>
      </c>
      <c r="T12" s="59">
        <v>0.21875970684285198</v>
      </c>
      <c r="U12" s="59">
        <v>0.21766561514195584</v>
      </c>
      <c r="V12" s="59">
        <v>0.23781728133014945</v>
      </c>
    </row>
    <row r="13" spans="2:22" ht="12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2.75">
      <c r="A14" s="59" t="s">
        <v>147</v>
      </c>
      <c r="B14" s="59">
        <v>0.0088983664389422</v>
      </c>
      <c r="C14" s="59">
        <v>0.02210023066713058</v>
      </c>
      <c r="D14" s="59">
        <v>0.019396360969565162</v>
      </c>
      <c r="E14" s="59">
        <v>0.019349414572025568</v>
      </c>
      <c r="F14" s="59">
        <v>0.020674593545256005</v>
      </c>
      <c r="G14" s="59">
        <v>0.021094802524285614</v>
      </c>
      <c r="H14" s="59">
        <v>0.020700673813879175</v>
      </c>
      <c r="I14" s="59">
        <v>0.0247486027186051</v>
      </c>
      <c r="J14" s="59">
        <v>0.021297277225019385</v>
      </c>
      <c r="K14" s="59">
        <v>0.01972861129823886</v>
      </c>
      <c r="L14" s="59">
        <v>0.03184197095996237</v>
      </c>
      <c r="M14" s="59">
        <v>0.02763706503526478</v>
      </c>
      <c r="N14" s="59">
        <v>0.02726644646558333</v>
      </c>
      <c r="O14" s="59">
        <v>0.026082300749579318</v>
      </c>
      <c r="P14" s="59">
        <v>0.02896511617000122</v>
      </c>
      <c r="Q14" s="59">
        <v>0.027901367660359777</v>
      </c>
      <c r="R14" s="59">
        <v>0.028178039641499862</v>
      </c>
      <c r="S14" s="59">
        <v>0.02569130521548246</v>
      </c>
      <c r="T14" s="59">
        <v>0.025840140366194583</v>
      </c>
      <c r="U14" s="59">
        <v>0.02952548912458498</v>
      </c>
      <c r="V14" s="59">
        <v>0.03091407575355572</v>
      </c>
    </row>
    <row r="15" spans="1:22" ht="12.75">
      <c r="A15" s="59" t="s">
        <v>341</v>
      </c>
      <c r="B15" s="59">
        <v>0.9911016335610578</v>
      </c>
      <c r="C15" s="59">
        <v>0.9778997693328694</v>
      </c>
      <c r="D15" s="59">
        <v>0.9806036390304348</v>
      </c>
      <c r="E15" s="59">
        <v>0.9806505854279745</v>
      </c>
      <c r="F15" s="59">
        <v>0.979325406454744</v>
      </c>
      <c r="G15" s="59">
        <v>0.9789051974757144</v>
      </c>
      <c r="H15" s="59">
        <v>0.9792993261861208</v>
      </c>
      <c r="I15" s="59">
        <v>0.9752513972813949</v>
      </c>
      <c r="J15" s="59">
        <v>0.9786918010943524</v>
      </c>
      <c r="K15" s="59">
        <v>0.9802820817160149</v>
      </c>
      <c r="L15" s="59">
        <v>0.9681580290400377</v>
      </c>
      <c r="M15" s="59">
        <v>0.9723629349647352</v>
      </c>
      <c r="N15" s="59">
        <v>0.9727335535344167</v>
      </c>
      <c r="O15" s="59">
        <v>0.9739176992504207</v>
      </c>
      <c r="P15" s="59">
        <v>0.971025503934866</v>
      </c>
      <c r="Q15" s="59">
        <v>0.9720986323396402</v>
      </c>
      <c r="R15" s="59">
        <v>0.9718219603585001</v>
      </c>
      <c r="S15" s="59">
        <v>0.9743086947845175</v>
      </c>
      <c r="T15" s="59">
        <v>0.9741514645264739</v>
      </c>
      <c r="U15" s="59">
        <v>0.970474510875415</v>
      </c>
      <c r="V15" s="59">
        <v>0.9690859242464442</v>
      </c>
    </row>
    <row r="16" spans="1:22" ht="12.75">
      <c r="A16" s="5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59" t="s">
        <v>343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t="s">
        <v>0</v>
      </c>
      <c r="B18" s="59">
        <v>0.9208957007955587</v>
      </c>
      <c r="C18" s="59">
        <v>0.9333737448277679</v>
      </c>
      <c r="D18" s="59">
        <v>0.9351411292922259</v>
      </c>
      <c r="E18" s="59">
        <v>0.9330399919310102</v>
      </c>
      <c r="F18" s="59">
        <v>0.9326527578175331</v>
      </c>
      <c r="G18" s="59">
        <v>0.9315973102507454</v>
      </c>
      <c r="H18" s="59">
        <v>0.9289007637197645</v>
      </c>
      <c r="I18" s="59">
        <v>0.9308100065098112</v>
      </c>
      <c r="J18" s="59">
        <v>0.9281888182122531</v>
      </c>
      <c r="K18" s="59">
        <v>0.9232397054813198</v>
      </c>
      <c r="L18" s="59">
        <v>0.9139629350174162</v>
      </c>
      <c r="M18" s="59">
        <v>0.9105645444071533</v>
      </c>
      <c r="N18" s="59">
        <v>0.9114905623662191</v>
      </c>
      <c r="O18" s="59">
        <v>0.9144251158407288</v>
      </c>
      <c r="P18" s="59">
        <v>0.9150132339019725</v>
      </c>
      <c r="Q18" s="59">
        <v>0.9181414057874308</v>
      </c>
      <c r="R18" s="59">
        <v>0.9111282065371689</v>
      </c>
      <c r="S18" s="59">
        <v>0.915497096854629</v>
      </c>
      <c r="T18" s="59">
        <v>0.9157431186335511</v>
      </c>
      <c r="U18" s="59">
        <v>0.9030039842676881</v>
      </c>
      <c r="V18" s="59">
        <v>0.9032539076759699</v>
      </c>
    </row>
    <row r="19" spans="1:22" ht="12.75">
      <c r="A19" t="s">
        <v>1</v>
      </c>
      <c r="B19" s="85">
        <v>0.07910429920444131</v>
      </c>
      <c r="C19" s="59">
        <v>0.06662625517223203</v>
      </c>
      <c r="D19" s="59">
        <v>0.06485887070777403</v>
      </c>
      <c r="E19" s="59">
        <v>0.06696000806898986</v>
      </c>
      <c r="F19" s="59">
        <v>0.06734724218246692</v>
      </c>
      <c r="G19" s="59">
        <v>0.0684147622324436</v>
      </c>
      <c r="H19" s="59">
        <v>0.0710992362802355</v>
      </c>
      <c r="I19" s="59">
        <v>0.06920161815307356</v>
      </c>
      <c r="J19" s="59">
        <v>0.0718111817877469</v>
      </c>
      <c r="K19" s="59">
        <v>0.07676029451868012</v>
      </c>
      <c r="L19" s="59">
        <v>0.0860370649825838</v>
      </c>
      <c r="M19" s="59">
        <v>0.08943545559284677</v>
      </c>
      <c r="N19" s="59">
        <v>0.08850943763378089</v>
      </c>
      <c r="O19" s="59">
        <v>0.08557488415927118</v>
      </c>
      <c r="P19" s="59">
        <v>0.08499642588048917</v>
      </c>
      <c r="Q19" s="59">
        <v>0.08185859421256919</v>
      </c>
      <c r="R19" s="59">
        <v>0.08887179346283118</v>
      </c>
      <c r="S19" s="59">
        <v>0.084502903145371</v>
      </c>
      <c r="T19" s="59">
        <v>0.08425688136644892</v>
      </c>
      <c r="U19" s="59">
        <v>0.09699601573231181</v>
      </c>
      <c r="V19" s="59">
        <v>0.09673779577207713</v>
      </c>
    </row>
    <row r="20" spans="1:22" ht="12.75">
      <c r="A20" s="59"/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t="s">
        <v>268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t="s">
        <v>72</v>
      </c>
      <c r="B22" s="31">
        <v>0.6439995961752023</v>
      </c>
      <c r="C22" s="31">
        <v>0.6463927714245377</v>
      </c>
      <c r="D22" s="31">
        <v>0.6462363663941094</v>
      </c>
      <c r="E22" s="31">
        <v>0.6473076143503818</v>
      </c>
      <c r="F22" s="31">
        <v>0.6477816153028693</v>
      </c>
      <c r="G22" s="31">
        <v>0.6516127360140993</v>
      </c>
      <c r="H22" s="31">
        <v>0.6543170595122945</v>
      </c>
      <c r="I22" s="31">
        <v>0.6558597262463782</v>
      </c>
      <c r="J22" s="31">
        <v>0.6533453561767358</v>
      </c>
      <c r="K22" s="31">
        <v>0.6465653725277062</v>
      </c>
      <c r="L22" s="31">
        <v>0.6349448685326547</v>
      </c>
      <c r="M22" s="31">
        <v>0.6399524689728017</v>
      </c>
      <c r="N22" s="31">
        <v>0.6395610729801565</v>
      </c>
      <c r="O22" s="31">
        <v>0.6419530419659248</v>
      </c>
      <c r="P22" s="31">
        <v>0.6466365440648622</v>
      </c>
      <c r="Q22" s="31">
        <v>0.6504457842424739</v>
      </c>
      <c r="R22" s="31">
        <v>0.6582468061153719</v>
      </c>
      <c r="S22" s="31">
        <v>0.6692022606344172</v>
      </c>
      <c r="T22" s="31">
        <v>0.6800707691439004</v>
      </c>
      <c r="U22" s="31">
        <v>0.6825078891177415</v>
      </c>
      <c r="V22" s="31">
        <v>0.6882549071837312</v>
      </c>
    </row>
    <row r="23" spans="1:22" ht="12.75">
      <c r="A23" t="s">
        <v>74</v>
      </c>
      <c r="B23" s="31">
        <v>0.35600040382479775</v>
      </c>
      <c r="C23" s="31">
        <v>0.3536072285754624</v>
      </c>
      <c r="D23" s="31">
        <v>0.3537636336058905</v>
      </c>
      <c r="E23" s="31">
        <v>0.35269238564961825</v>
      </c>
      <c r="F23" s="31">
        <v>0.35221838469713074</v>
      </c>
      <c r="G23" s="31">
        <v>0.3483872639859007</v>
      </c>
      <c r="H23" s="31">
        <v>0.3456702133075396</v>
      </c>
      <c r="I23" s="31">
        <v>0.3441402737536217</v>
      </c>
      <c r="J23" s="31">
        <v>0.3466546438232642</v>
      </c>
      <c r="K23" s="31">
        <v>0.35343462747229376</v>
      </c>
      <c r="L23" s="31">
        <v>0.3650551314673452</v>
      </c>
      <c r="M23" s="31">
        <v>0.36004753102719833</v>
      </c>
      <c r="N23" s="31">
        <v>0.36043892701984354</v>
      </c>
      <c r="O23" s="31">
        <v>0.35804695803407516</v>
      </c>
      <c r="P23" s="31">
        <v>0.35336345593513785</v>
      </c>
      <c r="Q23" s="31">
        <v>0.34956445190545893</v>
      </c>
      <c r="R23" s="31">
        <v>0.34175319388462816</v>
      </c>
      <c r="S23" s="31">
        <v>0.3307977393655827</v>
      </c>
      <c r="T23" s="31">
        <v>0.3199292308560996</v>
      </c>
      <c r="U23" s="31">
        <v>0.3174921108822585</v>
      </c>
      <c r="V23" s="31">
        <v>0.3117450928162688</v>
      </c>
    </row>
    <row r="24" spans="2:22" ht="12.75">
      <c r="B24" s="83"/>
      <c r="C24" s="83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ht="12.75">
      <c r="A25" t="s">
        <v>82</v>
      </c>
      <c r="B25" s="14"/>
      <c r="C25" s="1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2.75">
      <c r="A26" s="59" t="s">
        <v>78</v>
      </c>
      <c r="B26" s="14" t="s">
        <v>242</v>
      </c>
      <c r="C26" s="59">
        <v>0.7246223351687138</v>
      </c>
      <c r="D26" s="59">
        <v>0.7210677991809495</v>
      </c>
      <c r="E26" s="59">
        <v>0.7171677589352071</v>
      </c>
      <c r="F26" s="59">
        <v>0.7133235919234856</v>
      </c>
      <c r="G26" s="59">
        <v>0.7111459561729755</v>
      </c>
      <c r="H26" s="59">
        <v>0.7062439545894211</v>
      </c>
      <c r="I26" s="59">
        <v>0.6995578978918973</v>
      </c>
      <c r="J26" s="59">
        <v>0.6976375112714157</v>
      </c>
      <c r="K26" s="59">
        <v>0.6929984167867861</v>
      </c>
      <c r="L26" s="59">
        <v>0.7489963245688437</v>
      </c>
      <c r="M26" s="59">
        <v>0.745356922806091</v>
      </c>
      <c r="N26" s="59">
        <v>0.7396539393486545</v>
      </c>
      <c r="O26" s="59">
        <v>0.7353645313321954</v>
      </c>
      <c r="P26" s="59">
        <v>0.7293822051433638</v>
      </c>
      <c r="Q26" s="59">
        <v>0.7235216443348039</v>
      </c>
      <c r="R26" s="59">
        <v>0.7168474273020595</v>
      </c>
      <c r="S26" s="59">
        <v>0.7126153906014416</v>
      </c>
      <c r="T26" s="59">
        <v>0.7448264179708454</v>
      </c>
      <c r="U26" s="59">
        <v>0.7404338542355586</v>
      </c>
      <c r="V26" s="59">
        <v>0.7463695566312425</v>
      </c>
    </row>
    <row r="27" spans="1:22" ht="12.75">
      <c r="A27" s="59" t="s">
        <v>79</v>
      </c>
      <c r="B27" s="14" t="s">
        <v>242</v>
      </c>
      <c r="C27" s="59">
        <v>0.2753776648312862</v>
      </c>
      <c r="D27" s="59">
        <v>0.2789322008190505</v>
      </c>
      <c r="E27" s="59">
        <v>0.28283224106479293</v>
      </c>
      <c r="F27" s="59">
        <v>0.28667640807651434</v>
      </c>
      <c r="G27" s="59">
        <v>0.2888540438270245</v>
      </c>
      <c r="H27" s="59">
        <v>0.2937433182304129</v>
      </c>
      <c r="I27" s="59">
        <v>0.3004296133479868</v>
      </c>
      <c r="J27" s="59">
        <v>0.3023624887285843</v>
      </c>
      <c r="K27" s="59">
        <v>0.3070015832132139</v>
      </c>
      <c r="L27" s="59">
        <v>0.25100367543115637</v>
      </c>
      <c r="M27" s="59">
        <v>0.25463207464131676</v>
      </c>
      <c r="N27" s="59">
        <v>0.26034606065134547</v>
      </c>
      <c r="O27" s="59">
        <v>0.26463546866780463</v>
      </c>
      <c r="P27" s="59">
        <v>0.2706072378700224</v>
      </c>
      <c r="Q27" s="59">
        <v>0.2764783556651961</v>
      </c>
      <c r="R27" s="59">
        <v>0.2831525726979404</v>
      </c>
      <c r="S27" s="59">
        <v>0.2873846093985584</v>
      </c>
      <c r="T27" s="59">
        <v>0.25517358202915463</v>
      </c>
      <c r="U27" s="59">
        <v>0.2595755938096408</v>
      </c>
      <c r="V27" s="59">
        <v>0.2536304433687575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G551"/>
  <sheetViews>
    <sheetView workbookViewId="0" topLeftCell="A1">
      <pane xSplit="1" ySplit="1" topLeftCell="H4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413" sqref="M413:Q413"/>
    </sheetView>
  </sheetViews>
  <sheetFormatPr defaultColWidth="9.140625" defaultRowHeight="12.75"/>
  <cols>
    <col min="1" max="1" width="29.00390625" style="8" customWidth="1"/>
    <col min="2" max="3" width="11.28125" style="9" customWidth="1"/>
    <col min="4" max="4" width="10.7109375" style="9" customWidth="1"/>
    <col min="5" max="17" width="11.28125" style="9" customWidth="1"/>
    <col min="18" max="22" width="10.8515625" style="9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ht="12.75">
      <c r="A3" s="6"/>
    </row>
    <row r="4" ht="12.75">
      <c r="A4" s="17" t="s">
        <v>267</v>
      </c>
    </row>
    <row r="5" spans="1:22" ht="12.75">
      <c r="A5" s="17"/>
      <c r="R5" s="10"/>
      <c r="S5" s="10"/>
      <c r="T5" s="10"/>
      <c r="U5" s="10"/>
      <c r="V5" s="10"/>
    </row>
    <row r="6" spans="1:32" ht="12.75">
      <c r="A6" s="3" t="s">
        <v>145</v>
      </c>
      <c r="B6" s="9">
        <v>75969</v>
      </c>
      <c r="C6" s="9">
        <v>77601</v>
      </c>
      <c r="D6" s="9">
        <v>79087</v>
      </c>
      <c r="E6" s="9">
        <v>80881</v>
      </c>
      <c r="F6" s="9">
        <v>82420</v>
      </c>
      <c r="G6" s="9">
        <v>84618</v>
      </c>
      <c r="H6" s="9">
        <v>86374</v>
      </c>
      <c r="I6" s="9">
        <v>88207</v>
      </c>
      <c r="J6" s="9">
        <v>91561</v>
      </c>
      <c r="K6" s="9">
        <v>93519</v>
      </c>
      <c r="L6" s="9">
        <v>99931</v>
      </c>
      <c r="M6" s="9">
        <v>102652</v>
      </c>
      <c r="N6" s="9">
        <v>105661</v>
      </c>
      <c r="O6" s="9">
        <v>104592</v>
      </c>
      <c r="P6" s="9">
        <v>106611</v>
      </c>
      <c r="Q6" s="9">
        <v>109457</v>
      </c>
      <c r="R6" s="10">
        <v>112357</v>
      </c>
      <c r="S6" s="10">
        <v>115253</v>
      </c>
      <c r="T6" s="10">
        <v>119117</v>
      </c>
      <c r="U6" s="10">
        <v>120777</v>
      </c>
      <c r="V6" s="10">
        <v>124377</v>
      </c>
      <c r="AF6" s="9"/>
    </row>
    <row r="7" spans="1:32" ht="12.75">
      <c r="A7" s="3"/>
      <c r="R7" s="10"/>
      <c r="S7" s="10"/>
      <c r="T7" s="10"/>
      <c r="U7" s="10"/>
      <c r="V7" s="10"/>
      <c r="AF7" s="9"/>
    </row>
    <row r="8" spans="1:22" ht="12.75">
      <c r="A8" s="5" t="s">
        <v>149</v>
      </c>
      <c r="R8" s="10"/>
      <c r="S8" s="10"/>
      <c r="T8" s="10"/>
      <c r="U8" s="10"/>
      <c r="V8" s="10"/>
    </row>
    <row r="9" spans="1:32" ht="12.75">
      <c r="A9" s="5" t="s">
        <v>35</v>
      </c>
      <c r="B9" s="9">
        <v>17684</v>
      </c>
      <c r="C9" s="9">
        <v>18046</v>
      </c>
      <c r="D9" s="9">
        <v>18053</v>
      </c>
      <c r="E9" s="9">
        <v>18283</v>
      </c>
      <c r="F9" s="9">
        <v>18387</v>
      </c>
      <c r="G9" s="9">
        <v>18772</v>
      </c>
      <c r="H9" s="9">
        <v>18953</v>
      </c>
      <c r="I9" s="9">
        <v>19272</v>
      </c>
      <c r="J9" s="9">
        <v>19817</v>
      </c>
      <c r="K9" s="9">
        <v>20053</v>
      </c>
      <c r="L9" s="9">
        <v>20864</v>
      </c>
      <c r="M9" s="9">
        <v>21164</v>
      </c>
      <c r="N9" s="9">
        <v>21729</v>
      </c>
      <c r="O9" s="9">
        <v>21093</v>
      </c>
      <c r="P9" s="9">
        <v>21157</v>
      </c>
      <c r="Q9" s="9">
        <v>21461</v>
      </c>
      <c r="R9" s="10">
        <v>21776</v>
      </c>
      <c r="S9" s="10">
        <v>22016</v>
      </c>
      <c r="T9" s="10">
        <v>22347</v>
      </c>
      <c r="U9" s="10">
        <v>22602</v>
      </c>
      <c r="V9" s="10">
        <v>22839</v>
      </c>
      <c r="AF9" s="9"/>
    </row>
    <row r="10" spans="1:32" ht="12.75">
      <c r="A10" s="2" t="s">
        <v>36</v>
      </c>
      <c r="B10" s="9">
        <v>20352</v>
      </c>
      <c r="C10" s="9">
        <v>20585</v>
      </c>
      <c r="D10" s="9">
        <v>21035</v>
      </c>
      <c r="E10" s="9">
        <v>21381</v>
      </c>
      <c r="F10" s="9">
        <v>21622</v>
      </c>
      <c r="G10" s="9">
        <v>22028</v>
      </c>
      <c r="H10" s="9">
        <v>22495</v>
      </c>
      <c r="I10" s="9">
        <v>22800</v>
      </c>
      <c r="J10" s="9">
        <v>23655</v>
      </c>
      <c r="K10" s="9">
        <v>23874</v>
      </c>
      <c r="L10" s="9">
        <v>24565</v>
      </c>
      <c r="M10" s="9">
        <v>24507</v>
      </c>
      <c r="N10" s="9">
        <v>25269</v>
      </c>
      <c r="O10" s="9">
        <v>24987</v>
      </c>
      <c r="P10" s="9">
        <v>25480</v>
      </c>
      <c r="Q10" s="9">
        <v>26056</v>
      </c>
      <c r="R10" s="10">
        <v>26580</v>
      </c>
      <c r="S10" s="10">
        <v>27077</v>
      </c>
      <c r="T10" s="10">
        <v>27748</v>
      </c>
      <c r="U10" s="10">
        <v>27893</v>
      </c>
      <c r="V10" s="10">
        <v>28642</v>
      </c>
      <c r="AF10" s="9"/>
    </row>
    <row r="11" spans="1:32" ht="12.75">
      <c r="A11" s="2" t="s">
        <v>37</v>
      </c>
      <c r="B11" s="9">
        <v>24095</v>
      </c>
      <c r="C11" s="9">
        <v>24750</v>
      </c>
      <c r="D11" s="9">
        <v>25364</v>
      </c>
      <c r="E11" s="9">
        <v>26115</v>
      </c>
      <c r="F11" s="9">
        <v>26816</v>
      </c>
      <c r="G11" s="9">
        <v>27601</v>
      </c>
      <c r="H11" s="9">
        <v>28271</v>
      </c>
      <c r="I11" s="9">
        <v>29057</v>
      </c>
      <c r="J11" s="9">
        <v>30226</v>
      </c>
      <c r="K11" s="9">
        <v>31150</v>
      </c>
      <c r="L11" s="9">
        <v>34815</v>
      </c>
      <c r="M11" s="9">
        <v>36356</v>
      </c>
      <c r="N11" s="9">
        <v>37491</v>
      </c>
      <c r="O11" s="9">
        <v>36983</v>
      </c>
      <c r="P11" s="9">
        <v>37886</v>
      </c>
      <c r="Q11" s="9">
        <v>39148</v>
      </c>
      <c r="R11" s="10">
        <v>40403</v>
      </c>
      <c r="S11" s="10">
        <v>41819</v>
      </c>
      <c r="T11" s="10">
        <v>43571</v>
      </c>
      <c r="U11" s="10">
        <v>44659</v>
      </c>
      <c r="V11" s="10">
        <v>46400</v>
      </c>
      <c r="AF11" s="9"/>
    </row>
    <row r="12" spans="1:32" ht="12.75">
      <c r="A12" s="2" t="s">
        <v>38</v>
      </c>
      <c r="B12" s="9">
        <v>13838</v>
      </c>
      <c r="C12" s="9">
        <v>14221</v>
      </c>
      <c r="D12" s="9">
        <v>14635</v>
      </c>
      <c r="E12" s="9">
        <v>15102</v>
      </c>
      <c r="F12" s="9">
        <v>15594</v>
      </c>
      <c r="G12" s="9">
        <v>16218</v>
      </c>
      <c r="H12" s="9">
        <v>16656</v>
      </c>
      <c r="I12" s="9">
        <v>17078</v>
      </c>
      <c r="J12" s="9">
        <v>17862</v>
      </c>
      <c r="K12" s="9">
        <v>18443</v>
      </c>
      <c r="L12" s="9">
        <v>19687</v>
      </c>
      <c r="M12" s="9">
        <v>20625</v>
      </c>
      <c r="N12" s="9">
        <v>21171</v>
      </c>
      <c r="O12" s="9">
        <v>21528</v>
      </c>
      <c r="P12" s="9">
        <v>22088</v>
      </c>
      <c r="Q12" s="9">
        <v>22791</v>
      </c>
      <c r="R12" s="10">
        <v>23599</v>
      </c>
      <c r="S12" s="10">
        <v>24342</v>
      </c>
      <c r="T12" s="10">
        <v>25450</v>
      </c>
      <c r="U12" s="10">
        <v>25623</v>
      </c>
      <c r="V12" s="10">
        <v>26496</v>
      </c>
      <c r="AF12" s="9"/>
    </row>
    <row r="13" spans="1:22" ht="12.75">
      <c r="A13" s="74" t="s">
        <v>148</v>
      </c>
      <c r="B13" s="10">
        <f aca="true" t="shared" si="0" ref="B13:V13">B6-SUM(B9:B12)</f>
        <v>0</v>
      </c>
      <c r="C13" s="10">
        <f t="shared" si="0"/>
        <v>-1</v>
      </c>
      <c r="D13" s="10">
        <f t="shared" si="0"/>
        <v>0</v>
      </c>
      <c r="E13" s="10">
        <f t="shared" si="0"/>
        <v>0</v>
      </c>
      <c r="F13" s="10">
        <f t="shared" si="0"/>
        <v>1</v>
      </c>
      <c r="G13" s="10">
        <f t="shared" si="0"/>
        <v>-1</v>
      </c>
      <c r="H13" s="10">
        <f t="shared" si="0"/>
        <v>-1</v>
      </c>
      <c r="I13" s="10">
        <f t="shared" si="0"/>
        <v>0</v>
      </c>
      <c r="J13" s="10">
        <f t="shared" si="0"/>
        <v>1</v>
      </c>
      <c r="K13" s="10">
        <f t="shared" si="0"/>
        <v>-1</v>
      </c>
      <c r="L13" s="10">
        <f t="shared" si="0"/>
        <v>0</v>
      </c>
      <c r="M13" s="10">
        <f t="shared" si="0"/>
        <v>0</v>
      </c>
      <c r="N13" s="10">
        <f t="shared" si="0"/>
        <v>1</v>
      </c>
      <c r="O13" s="10">
        <f t="shared" si="0"/>
        <v>1</v>
      </c>
      <c r="P13" s="10">
        <f t="shared" si="0"/>
        <v>0</v>
      </c>
      <c r="Q13" s="10">
        <f t="shared" si="0"/>
        <v>1</v>
      </c>
      <c r="R13" s="10">
        <f t="shared" si="0"/>
        <v>-1</v>
      </c>
      <c r="S13" s="10">
        <f t="shared" si="0"/>
        <v>-1</v>
      </c>
      <c r="T13" s="10">
        <f t="shared" si="0"/>
        <v>1</v>
      </c>
      <c r="U13" s="10">
        <f t="shared" si="0"/>
        <v>0</v>
      </c>
      <c r="V13" s="10">
        <f t="shared" si="0"/>
        <v>0</v>
      </c>
    </row>
    <row r="14" spans="1:22" ht="12.75">
      <c r="A14" s="2"/>
      <c r="R14" s="10"/>
      <c r="S14" s="10"/>
      <c r="T14" s="10"/>
      <c r="U14" s="10"/>
      <c r="V14" s="10"/>
    </row>
    <row r="15" spans="1:22" ht="12.75">
      <c r="A15" s="5" t="s">
        <v>150</v>
      </c>
      <c r="R15" s="10"/>
      <c r="S15" s="10"/>
      <c r="T15" s="10"/>
      <c r="U15" s="10"/>
      <c r="V15" s="10"/>
    </row>
    <row r="16" spans="1:32" ht="12.75">
      <c r="A16" s="5" t="s">
        <v>39</v>
      </c>
      <c r="B16" s="9">
        <v>51143</v>
      </c>
      <c r="C16" s="9">
        <v>52066</v>
      </c>
      <c r="D16" s="9">
        <v>53031</v>
      </c>
      <c r="E16" s="9">
        <v>53934</v>
      </c>
      <c r="F16" s="9">
        <v>54897</v>
      </c>
      <c r="G16" s="9">
        <v>56384</v>
      </c>
      <c r="H16" s="9">
        <v>57484</v>
      </c>
      <c r="I16" s="9">
        <v>58477</v>
      </c>
      <c r="J16" s="9">
        <v>60928</v>
      </c>
      <c r="K16" s="9">
        <v>62293</v>
      </c>
      <c r="L16" s="9">
        <v>75853</v>
      </c>
      <c r="M16" s="9">
        <v>78108</v>
      </c>
      <c r="N16" s="9">
        <v>80936</v>
      </c>
      <c r="O16" s="9">
        <v>79949</v>
      </c>
      <c r="P16" s="9">
        <v>81293</v>
      </c>
      <c r="Q16" s="9">
        <v>83349</v>
      </c>
      <c r="R16" s="10">
        <v>85466</v>
      </c>
      <c r="S16" s="10">
        <v>87697</v>
      </c>
      <c r="T16" s="10">
        <v>93058</v>
      </c>
      <c r="U16" s="10">
        <v>94488</v>
      </c>
      <c r="V16" s="10">
        <v>94798</v>
      </c>
      <c r="AF16" s="9"/>
    </row>
    <row r="17" spans="1:32" ht="12.75">
      <c r="A17" s="2" t="s">
        <v>40</v>
      </c>
      <c r="B17" s="9">
        <v>24123</v>
      </c>
      <c r="C17" s="9">
        <v>24081</v>
      </c>
      <c r="D17" s="9">
        <v>24245</v>
      </c>
      <c r="E17" s="9">
        <v>24576</v>
      </c>
      <c r="F17" s="9">
        <v>24860</v>
      </c>
      <c r="G17" s="9">
        <v>25213</v>
      </c>
      <c r="H17" s="9">
        <v>25422</v>
      </c>
      <c r="I17" s="9">
        <v>25511</v>
      </c>
      <c r="J17" s="9">
        <v>26575</v>
      </c>
      <c r="K17" s="9">
        <v>27257</v>
      </c>
      <c r="L17" s="9">
        <v>32665</v>
      </c>
      <c r="M17" s="9">
        <v>33404</v>
      </c>
      <c r="N17" s="9">
        <v>33685</v>
      </c>
      <c r="O17" s="9">
        <v>32925</v>
      </c>
      <c r="P17" s="9">
        <v>33140</v>
      </c>
      <c r="Q17" s="9">
        <v>33513</v>
      </c>
      <c r="R17" s="10">
        <v>34062</v>
      </c>
      <c r="S17" s="10">
        <v>34456</v>
      </c>
      <c r="T17" s="10">
        <v>35076</v>
      </c>
      <c r="U17" s="10">
        <v>35217</v>
      </c>
      <c r="V17" s="10">
        <v>35826</v>
      </c>
      <c r="AF17" s="9"/>
    </row>
    <row r="18" spans="1:32" ht="12.75">
      <c r="A18" s="2" t="s">
        <v>41</v>
      </c>
      <c r="B18" s="9">
        <v>27020</v>
      </c>
      <c r="C18" s="9">
        <v>27985</v>
      </c>
      <c r="D18" s="9">
        <v>28785</v>
      </c>
      <c r="E18" s="9">
        <v>29359</v>
      </c>
      <c r="F18" s="9">
        <v>30037</v>
      </c>
      <c r="G18" s="9">
        <v>31171</v>
      </c>
      <c r="H18" s="9">
        <v>32062</v>
      </c>
      <c r="I18" s="9">
        <v>32967</v>
      </c>
      <c r="J18" s="9">
        <v>34353</v>
      </c>
      <c r="K18" s="9">
        <v>35036</v>
      </c>
      <c r="L18" s="9">
        <v>43188</v>
      </c>
      <c r="M18" s="9">
        <v>44704</v>
      </c>
      <c r="N18" s="9">
        <v>47251</v>
      </c>
      <c r="O18" s="9">
        <v>47024</v>
      </c>
      <c r="P18" s="9">
        <v>48153</v>
      </c>
      <c r="Q18" s="9">
        <v>49836</v>
      </c>
      <c r="R18" s="10">
        <v>51404</v>
      </c>
      <c r="S18" s="10">
        <v>53241</v>
      </c>
      <c r="T18" s="10">
        <v>57983</v>
      </c>
      <c r="U18" s="10">
        <v>59271</v>
      </c>
      <c r="V18" s="10">
        <v>58971</v>
      </c>
      <c r="AF18" s="9"/>
    </row>
    <row r="19" spans="1:32" ht="12.75">
      <c r="A19" s="4" t="s">
        <v>42</v>
      </c>
      <c r="B19" s="9">
        <v>24826</v>
      </c>
      <c r="C19" s="9">
        <v>25535</v>
      </c>
      <c r="D19" s="9">
        <v>26057</v>
      </c>
      <c r="E19" s="9">
        <v>26947</v>
      </c>
      <c r="F19" s="9">
        <v>27523</v>
      </c>
      <c r="G19" s="9">
        <v>28235</v>
      </c>
      <c r="H19" s="9">
        <v>28890</v>
      </c>
      <c r="I19" s="9">
        <v>29730</v>
      </c>
      <c r="J19" s="9">
        <v>30633</v>
      </c>
      <c r="K19" s="9">
        <v>31226</v>
      </c>
      <c r="L19" s="9">
        <v>24078</v>
      </c>
      <c r="M19" s="9">
        <v>24544</v>
      </c>
      <c r="N19" s="9">
        <v>24725</v>
      </c>
      <c r="O19" s="9">
        <v>24643</v>
      </c>
      <c r="P19" s="9">
        <v>25318</v>
      </c>
      <c r="Q19" s="9">
        <v>26108</v>
      </c>
      <c r="R19" s="10">
        <v>26891</v>
      </c>
      <c r="S19" s="10">
        <v>27555</v>
      </c>
      <c r="T19" s="10">
        <v>26058</v>
      </c>
      <c r="U19" s="10">
        <v>26289</v>
      </c>
      <c r="V19" s="10">
        <v>29579</v>
      </c>
      <c r="AF19" s="9"/>
    </row>
    <row r="20" spans="1:22" ht="12.75">
      <c r="A20" s="74" t="s">
        <v>148</v>
      </c>
      <c r="B20" s="10">
        <f aca="true" t="shared" si="1" ref="B20:V20">B6-B16-B19</f>
        <v>0</v>
      </c>
      <c r="C20" s="10">
        <f t="shared" si="1"/>
        <v>0</v>
      </c>
      <c r="D20" s="10">
        <f t="shared" si="1"/>
        <v>-1</v>
      </c>
      <c r="E20" s="10">
        <f t="shared" si="1"/>
        <v>0</v>
      </c>
      <c r="F20" s="10">
        <f t="shared" si="1"/>
        <v>0</v>
      </c>
      <c r="G20" s="10">
        <f t="shared" si="1"/>
        <v>-1</v>
      </c>
      <c r="H20" s="10">
        <f t="shared" si="1"/>
        <v>0</v>
      </c>
      <c r="I20" s="10">
        <f t="shared" si="1"/>
        <v>0</v>
      </c>
      <c r="J20" s="10">
        <f t="shared" si="1"/>
        <v>0</v>
      </c>
      <c r="K20" s="10">
        <f t="shared" si="1"/>
        <v>0</v>
      </c>
      <c r="L20" s="10">
        <f t="shared" si="1"/>
        <v>0</v>
      </c>
      <c r="M20" s="10">
        <f t="shared" si="1"/>
        <v>0</v>
      </c>
      <c r="N20" s="10">
        <f t="shared" si="1"/>
        <v>0</v>
      </c>
      <c r="O20" s="10">
        <f t="shared" si="1"/>
        <v>0</v>
      </c>
      <c r="P20" s="10">
        <f t="shared" si="1"/>
        <v>0</v>
      </c>
      <c r="Q20" s="10">
        <f t="shared" si="1"/>
        <v>0</v>
      </c>
      <c r="R20" s="10">
        <f t="shared" si="1"/>
        <v>0</v>
      </c>
      <c r="S20" s="10">
        <f t="shared" si="1"/>
        <v>1</v>
      </c>
      <c r="T20" s="10">
        <f t="shared" si="1"/>
        <v>1</v>
      </c>
      <c r="U20" s="10">
        <f t="shared" si="1"/>
        <v>0</v>
      </c>
      <c r="V20" s="10">
        <f t="shared" si="1"/>
        <v>0</v>
      </c>
    </row>
    <row r="21" spans="1:22" ht="12.75">
      <c r="A21" s="74" t="s">
        <v>148</v>
      </c>
      <c r="B21" s="10">
        <f aca="true" t="shared" si="2" ref="B21:V21">B16-B17-B18</f>
        <v>0</v>
      </c>
      <c r="C21" s="10">
        <f t="shared" si="2"/>
        <v>0</v>
      </c>
      <c r="D21" s="10">
        <f t="shared" si="2"/>
        <v>1</v>
      </c>
      <c r="E21" s="10">
        <f t="shared" si="2"/>
        <v>-1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2"/>
        <v>-1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10">
        <f t="shared" si="2"/>
        <v>0</v>
      </c>
      <c r="O21" s="10">
        <f t="shared" si="2"/>
        <v>0</v>
      </c>
      <c r="P21" s="10">
        <f t="shared" si="2"/>
        <v>0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10">
        <f t="shared" si="2"/>
        <v>-1</v>
      </c>
      <c r="U21" s="10">
        <f t="shared" si="2"/>
        <v>0</v>
      </c>
      <c r="V21" s="10">
        <f t="shared" si="2"/>
        <v>1</v>
      </c>
    </row>
    <row r="22" spans="1:22" ht="12.75">
      <c r="A22" s="12"/>
      <c r="R22" s="10"/>
      <c r="S22" s="10"/>
      <c r="T22" s="10"/>
      <c r="U22" s="10"/>
      <c r="V22" s="10"/>
    </row>
    <row r="23" spans="1:32" ht="12.75">
      <c r="A23" s="3" t="s">
        <v>147</v>
      </c>
      <c r="B23" s="9">
        <v>676</v>
      </c>
      <c r="C23" s="9">
        <v>1715</v>
      </c>
      <c r="D23" s="9">
        <v>1534</v>
      </c>
      <c r="E23" s="9">
        <v>1565</v>
      </c>
      <c r="F23" s="9">
        <v>1704</v>
      </c>
      <c r="G23" s="9">
        <v>1785</v>
      </c>
      <c r="H23" s="9">
        <v>1788</v>
      </c>
      <c r="I23" s="9">
        <v>2183</v>
      </c>
      <c r="J23" s="9">
        <v>1950</v>
      </c>
      <c r="K23" s="9">
        <v>1845</v>
      </c>
      <c r="L23" s="9">
        <v>3182</v>
      </c>
      <c r="M23" s="9">
        <v>2837</v>
      </c>
      <c r="N23" s="9">
        <v>2881</v>
      </c>
      <c r="O23" s="9">
        <v>2728</v>
      </c>
      <c r="P23" s="9">
        <v>3088</v>
      </c>
      <c r="Q23" s="9">
        <v>3054</v>
      </c>
      <c r="R23" s="10">
        <v>3166</v>
      </c>
      <c r="S23" s="10">
        <v>2961</v>
      </c>
      <c r="T23" s="10">
        <v>3078</v>
      </c>
      <c r="U23" s="10">
        <v>3566</v>
      </c>
      <c r="V23" s="10">
        <v>3845</v>
      </c>
      <c r="AF23" s="9"/>
    </row>
    <row r="24" spans="1:32" ht="12.75">
      <c r="A24" s="3" t="s">
        <v>341</v>
      </c>
      <c r="B24" s="9">
        <v>75293</v>
      </c>
      <c r="C24" s="9">
        <v>75886</v>
      </c>
      <c r="D24" s="9">
        <v>77553</v>
      </c>
      <c r="E24" s="9">
        <v>79316</v>
      </c>
      <c r="F24" s="9">
        <v>80716</v>
      </c>
      <c r="G24" s="9">
        <v>82833</v>
      </c>
      <c r="H24" s="9">
        <v>84586</v>
      </c>
      <c r="I24" s="9">
        <v>86024</v>
      </c>
      <c r="J24" s="9">
        <v>89610</v>
      </c>
      <c r="K24" s="9">
        <v>91675</v>
      </c>
      <c r="L24" s="9">
        <v>96749</v>
      </c>
      <c r="M24" s="9">
        <v>99815</v>
      </c>
      <c r="N24" s="9">
        <v>102780</v>
      </c>
      <c r="O24" s="9">
        <v>101864</v>
      </c>
      <c r="P24" s="9">
        <v>103522</v>
      </c>
      <c r="Q24" s="9">
        <v>106403</v>
      </c>
      <c r="R24" s="10">
        <v>109191</v>
      </c>
      <c r="S24" s="10">
        <v>112292</v>
      </c>
      <c r="T24" s="10">
        <v>116038</v>
      </c>
      <c r="U24" s="10">
        <v>117211</v>
      </c>
      <c r="V24" s="10">
        <v>120532</v>
      </c>
      <c r="AF24" s="9"/>
    </row>
    <row r="25" spans="1:22" ht="12.75">
      <c r="A25" s="74" t="s">
        <v>148</v>
      </c>
      <c r="B25" s="10">
        <f aca="true" t="shared" si="3" ref="B25:V25">B6-B23-B24</f>
        <v>0</v>
      </c>
      <c r="C25" s="10">
        <f t="shared" si="3"/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3"/>
        <v>0</v>
      </c>
      <c r="H25" s="10">
        <f t="shared" si="3"/>
        <v>0</v>
      </c>
      <c r="I25" s="10">
        <f t="shared" si="3"/>
        <v>0</v>
      </c>
      <c r="J25" s="10">
        <f t="shared" si="3"/>
        <v>1</v>
      </c>
      <c r="K25" s="10">
        <f t="shared" si="3"/>
        <v>-1</v>
      </c>
      <c r="L25" s="10">
        <f t="shared" si="3"/>
        <v>0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1</v>
      </c>
      <c r="Q25" s="10">
        <f t="shared" si="3"/>
        <v>0</v>
      </c>
      <c r="R25" s="10">
        <f t="shared" si="3"/>
        <v>0</v>
      </c>
      <c r="S25" s="10">
        <f t="shared" si="3"/>
        <v>0</v>
      </c>
      <c r="T25" s="10">
        <f t="shared" si="3"/>
        <v>1</v>
      </c>
      <c r="U25" s="10">
        <f t="shared" si="3"/>
        <v>0</v>
      </c>
      <c r="V25" s="10">
        <f t="shared" si="3"/>
        <v>0</v>
      </c>
    </row>
    <row r="26" spans="1:22" ht="12.75">
      <c r="A26" s="3"/>
      <c r="R26" s="10"/>
      <c r="S26" s="10"/>
      <c r="T26" s="10"/>
      <c r="U26" s="10"/>
      <c r="V26" s="10"/>
    </row>
    <row r="27" spans="1:22" ht="12.75">
      <c r="A27" s="3" t="s">
        <v>342</v>
      </c>
      <c r="R27" s="10"/>
      <c r="S27" s="10"/>
      <c r="T27" s="10"/>
      <c r="U27" s="10"/>
      <c r="V27" s="10"/>
    </row>
    <row r="28" spans="1:32" ht="12.75">
      <c r="A28" s="3" t="s">
        <v>80</v>
      </c>
      <c r="B28" s="14" t="s">
        <v>242</v>
      </c>
      <c r="C28" s="14" t="s">
        <v>242</v>
      </c>
      <c r="D28" s="9">
        <f>361+5</f>
        <v>366</v>
      </c>
      <c r="E28" s="9">
        <f>405+5</f>
        <v>410</v>
      </c>
      <c r="F28" s="9">
        <f>344+6</f>
        <v>350</v>
      </c>
      <c r="G28" s="9">
        <f>348+3</f>
        <v>351</v>
      </c>
      <c r="H28" s="9">
        <f>341+5</f>
        <v>346</v>
      </c>
      <c r="I28" s="9">
        <f>313+6</f>
        <v>319</v>
      </c>
      <c r="J28" s="9">
        <f>409+13</f>
        <v>422</v>
      </c>
      <c r="K28" s="9">
        <f>360+11</f>
        <v>371</v>
      </c>
      <c r="L28" s="9">
        <v>527</v>
      </c>
      <c r="M28" s="1">
        <v>771</v>
      </c>
      <c r="N28" s="1">
        <v>624</v>
      </c>
      <c r="O28" s="1">
        <v>721</v>
      </c>
      <c r="P28" s="1">
        <v>839</v>
      </c>
      <c r="Q28" s="1">
        <v>748</v>
      </c>
      <c r="R28" s="10">
        <v>727</v>
      </c>
      <c r="S28" s="10">
        <v>665</v>
      </c>
      <c r="T28" s="10">
        <v>670</v>
      </c>
      <c r="U28" s="10">
        <v>634</v>
      </c>
      <c r="V28" s="10">
        <v>713</v>
      </c>
      <c r="AF28" s="9"/>
    </row>
    <row r="29" spans="1:32" ht="12.75">
      <c r="A29" s="2" t="s">
        <v>81</v>
      </c>
      <c r="B29" s="14" t="s">
        <v>242</v>
      </c>
      <c r="C29" s="14" t="s">
        <v>242</v>
      </c>
      <c r="D29" s="9">
        <v>621</v>
      </c>
      <c r="E29" s="9">
        <f>634+75</f>
        <v>709</v>
      </c>
      <c r="F29" s="9">
        <f>665+58</f>
        <v>723</v>
      </c>
      <c r="G29" s="9">
        <f>865+48</f>
        <v>913</v>
      </c>
      <c r="H29" s="9">
        <f>967+72</f>
        <v>1039</v>
      </c>
      <c r="I29" s="9">
        <f>1090+130</f>
        <v>1220</v>
      </c>
      <c r="J29" s="9">
        <f>1271+150</f>
        <v>1421</v>
      </c>
      <c r="K29" s="9">
        <f>1389+133</f>
        <v>1522</v>
      </c>
      <c r="L29" s="9">
        <v>3284</v>
      </c>
      <c r="M29" s="1">
        <v>3936</v>
      </c>
      <c r="N29" s="1">
        <v>4199</v>
      </c>
      <c r="O29" s="1">
        <v>4225</v>
      </c>
      <c r="P29" s="1">
        <v>4420</v>
      </c>
      <c r="Q29" s="1">
        <v>4677</v>
      </c>
      <c r="R29" s="10">
        <v>6423</v>
      </c>
      <c r="S29" s="10">
        <v>5273</v>
      </c>
      <c r="T29" s="10">
        <v>5602</v>
      </c>
      <c r="U29" s="10">
        <v>5589</v>
      </c>
      <c r="V29" s="10">
        <v>5975</v>
      </c>
      <c r="AF29" s="9"/>
    </row>
    <row r="30" spans="1:22" ht="12.75">
      <c r="A30" s="2"/>
      <c r="R30" s="10"/>
      <c r="S30" s="10"/>
      <c r="T30" s="10"/>
      <c r="U30" s="10"/>
      <c r="V30" s="10"/>
    </row>
    <row r="31" spans="1:22" ht="12.75">
      <c r="A31" s="2" t="s">
        <v>343</v>
      </c>
      <c r="R31" s="10"/>
      <c r="S31" s="10"/>
      <c r="T31" s="10"/>
      <c r="U31" s="10"/>
      <c r="V31" s="10"/>
    </row>
    <row r="32" spans="1:32" ht="12.75">
      <c r="A32" s="5" t="s">
        <v>0</v>
      </c>
      <c r="B32" s="9">
        <v>69337</v>
      </c>
      <c r="C32" s="9">
        <v>70830</v>
      </c>
      <c r="D32" s="9">
        <v>72523</v>
      </c>
      <c r="E32" s="9">
        <v>74005</v>
      </c>
      <c r="F32" s="9">
        <v>75280</v>
      </c>
      <c r="G32" s="9">
        <v>77167</v>
      </c>
      <c r="H32" s="9">
        <v>78572</v>
      </c>
      <c r="I32" s="9">
        <v>80072</v>
      </c>
      <c r="J32" s="9">
        <v>83175</v>
      </c>
      <c r="K32" s="9">
        <v>84638</v>
      </c>
      <c r="L32" s="9">
        <v>88425</v>
      </c>
      <c r="M32" s="9">
        <v>90888</v>
      </c>
      <c r="N32" s="9">
        <v>93683</v>
      </c>
      <c r="O32" s="9">
        <v>93147</v>
      </c>
      <c r="P32" s="9">
        <v>94724</v>
      </c>
      <c r="Q32" s="9">
        <v>97693</v>
      </c>
      <c r="R32" s="10">
        <v>99487</v>
      </c>
      <c r="S32" s="10">
        <v>102803</v>
      </c>
      <c r="T32" s="10">
        <v>106261</v>
      </c>
      <c r="U32" s="10">
        <v>105842</v>
      </c>
      <c r="V32" s="10">
        <v>108871</v>
      </c>
      <c r="AF32" s="9"/>
    </row>
    <row r="33" spans="1:32" ht="12.75">
      <c r="A33" s="5" t="s">
        <v>1</v>
      </c>
      <c r="B33" s="9">
        <v>5956</v>
      </c>
      <c r="C33" s="9">
        <v>5056</v>
      </c>
      <c r="D33" s="9">
        <v>5030</v>
      </c>
      <c r="E33" s="9">
        <v>5311</v>
      </c>
      <c r="F33" s="9">
        <v>5436</v>
      </c>
      <c r="G33" s="9">
        <v>5667</v>
      </c>
      <c r="H33" s="9">
        <v>6014</v>
      </c>
      <c r="I33" s="9">
        <v>5953</v>
      </c>
      <c r="J33" s="9">
        <v>6435</v>
      </c>
      <c r="K33" s="9">
        <v>7037</v>
      </c>
      <c r="L33" s="9">
        <v>8324</v>
      </c>
      <c r="M33" s="9">
        <v>8927</v>
      </c>
      <c r="N33" s="9">
        <v>9097</v>
      </c>
      <c r="O33" s="9">
        <v>8717</v>
      </c>
      <c r="P33" s="9">
        <v>8799</v>
      </c>
      <c r="Q33" s="9">
        <v>8710</v>
      </c>
      <c r="R33" s="10">
        <v>9704</v>
      </c>
      <c r="S33" s="10">
        <v>9489</v>
      </c>
      <c r="T33" s="10">
        <v>9777</v>
      </c>
      <c r="U33" s="10">
        <v>11369</v>
      </c>
      <c r="V33" s="10">
        <v>11660</v>
      </c>
      <c r="AF33" s="9"/>
    </row>
    <row r="34" spans="1:22" ht="12.75">
      <c r="A34" s="40" t="s">
        <v>148</v>
      </c>
      <c r="B34" s="9">
        <f aca="true" t="shared" si="4" ref="B34:V34">B24-SUM(B32:B33)</f>
        <v>0</v>
      </c>
      <c r="C34" s="9">
        <f t="shared" si="4"/>
        <v>0</v>
      </c>
      <c r="D34" s="9">
        <f t="shared" si="4"/>
        <v>0</v>
      </c>
      <c r="E34" s="9">
        <f t="shared" si="4"/>
        <v>0</v>
      </c>
      <c r="F34" s="9">
        <f t="shared" si="4"/>
        <v>0</v>
      </c>
      <c r="G34" s="9">
        <f t="shared" si="4"/>
        <v>-1</v>
      </c>
      <c r="H34" s="9">
        <f t="shared" si="4"/>
        <v>0</v>
      </c>
      <c r="I34" s="9">
        <f t="shared" si="4"/>
        <v>-1</v>
      </c>
      <c r="J34" s="9">
        <f t="shared" si="4"/>
        <v>0</v>
      </c>
      <c r="K34" s="9">
        <f t="shared" si="4"/>
        <v>0</v>
      </c>
      <c r="L34" s="9">
        <f t="shared" si="4"/>
        <v>0</v>
      </c>
      <c r="M34" s="9">
        <f t="shared" si="4"/>
        <v>0</v>
      </c>
      <c r="N34" s="9">
        <f t="shared" si="4"/>
        <v>0</v>
      </c>
      <c r="O34" s="9">
        <f t="shared" si="4"/>
        <v>0</v>
      </c>
      <c r="P34" s="9">
        <f t="shared" si="4"/>
        <v>-1</v>
      </c>
      <c r="Q34" s="9">
        <f t="shared" si="4"/>
        <v>0</v>
      </c>
      <c r="R34" s="9">
        <f t="shared" si="4"/>
        <v>0</v>
      </c>
      <c r="S34" s="9">
        <f t="shared" si="4"/>
        <v>0</v>
      </c>
      <c r="T34" s="9">
        <f t="shared" si="4"/>
        <v>0</v>
      </c>
      <c r="U34" s="9">
        <f t="shared" si="4"/>
        <v>0</v>
      </c>
      <c r="V34" s="9">
        <f t="shared" si="4"/>
        <v>1</v>
      </c>
    </row>
    <row r="35" spans="1:22" ht="12.75">
      <c r="A35" s="2"/>
      <c r="R35" s="10"/>
      <c r="S35" s="10"/>
      <c r="T35" s="10"/>
      <c r="U35" s="10"/>
      <c r="V35" s="10"/>
    </row>
    <row r="36" ht="12.75">
      <c r="A36" s="18" t="s">
        <v>268</v>
      </c>
    </row>
    <row r="37" spans="1:22" ht="12.75">
      <c r="A37" s="4" t="s">
        <v>72</v>
      </c>
      <c r="B37" s="9">
        <v>44653</v>
      </c>
      <c r="C37" s="9">
        <v>45784</v>
      </c>
      <c r="D37" s="9">
        <v>46867</v>
      </c>
      <c r="E37" s="9">
        <v>47904</v>
      </c>
      <c r="F37" s="9">
        <v>48765</v>
      </c>
      <c r="G37" s="9">
        <v>50283</v>
      </c>
      <c r="H37" s="9">
        <v>51411</v>
      </c>
      <c r="I37" s="9">
        <v>52516</v>
      </c>
      <c r="J37" s="9">
        <v>54342</v>
      </c>
      <c r="K37" s="9">
        <v>54724</v>
      </c>
      <c r="L37" s="9">
        <v>56145</v>
      </c>
      <c r="M37" s="9">
        <v>58164</v>
      </c>
      <c r="N37" s="9">
        <v>59916</v>
      </c>
      <c r="O37" s="9">
        <v>59796</v>
      </c>
      <c r="P37" s="9">
        <v>61252</v>
      </c>
      <c r="Q37" s="9">
        <v>63544</v>
      </c>
      <c r="R37" s="10">
        <v>65487</v>
      </c>
      <c r="S37" s="10">
        <v>68796</v>
      </c>
      <c r="T37" s="10">
        <v>72265</v>
      </c>
      <c r="U37" s="10">
        <v>72238</v>
      </c>
      <c r="V37" s="10">
        <v>74931</v>
      </c>
    </row>
    <row r="38" spans="1:22" ht="12.75">
      <c r="A38" s="4" t="s">
        <v>74</v>
      </c>
      <c r="B38" s="9">
        <v>24684</v>
      </c>
      <c r="C38" s="9">
        <v>25046</v>
      </c>
      <c r="D38" s="9">
        <v>25656</v>
      </c>
      <c r="E38" s="9">
        <v>26101</v>
      </c>
      <c r="F38" s="9">
        <v>26515</v>
      </c>
      <c r="G38" s="9">
        <v>26884</v>
      </c>
      <c r="H38" s="9">
        <v>27160</v>
      </c>
      <c r="I38" s="9">
        <v>27556</v>
      </c>
      <c r="J38" s="9">
        <v>28833</v>
      </c>
      <c r="K38" s="9">
        <v>29914</v>
      </c>
      <c r="L38" s="9">
        <v>32280</v>
      </c>
      <c r="M38" s="9">
        <v>32724</v>
      </c>
      <c r="N38" s="9">
        <v>33767</v>
      </c>
      <c r="O38" s="9">
        <v>33351</v>
      </c>
      <c r="P38" s="9">
        <v>33472</v>
      </c>
      <c r="Q38" s="9">
        <v>34150</v>
      </c>
      <c r="R38" s="10">
        <v>34000</v>
      </c>
      <c r="S38" s="10">
        <v>34007</v>
      </c>
      <c r="T38" s="10">
        <v>33996</v>
      </c>
      <c r="U38" s="10">
        <v>33604</v>
      </c>
      <c r="V38" s="10">
        <v>33940</v>
      </c>
    </row>
    <row r="39" spans="1:22" ht="12.75">
      <c r="A39" s="4" t="s">
        <v>73</v>
      </c>
      <c r="B39" s="36">
        <v>0.644</v>
      </c>
      <c r="C39" s="36">
        <v>0.646</v>
      </c>
      <c r="D39" s="36">
        <v>0.646</v>
      </c>
      <c r="E39" s="36">
        <v>0.647</v>
      </c>
      <c r="F39" s="36">
        <v>0.648</v>
      </c>
      <c r="G39" s="36">
        <v>0.652</v>
      </c>
      <c r="H39" s="36">
        <v>0.654</v>
      </c>
      <c r="I39" s="36">
        <v>0.656</v>
      </c>
      <c r="J39" s="36">
        <v>0.653</v>
      </c>
      <c r="K39" s="36">
        <v>0.647</v>
      </c>
      <c r="L39" s="36">
        <v>0.635</v>
      </c>
      <c r="M39" s="35">
        <f aca="true" t="shared" si="5" ref="M39:V39">M37/M32</f>
        <v>0.6399524689728017</v>
      </c>
      <c r="N39" s="35">
        <f t="shared" si="5"/>
        <v>0.6395610729801565</v>
      </c>
      <c r="O39" s="35">
        <f t="shared" si="5"/>
        <v>0.6419530419659248</v>
      </c>
      <c r="P39" s="35">
        <f t="shared" si="5"/>
        <v>0.6466365440648622</v>
      </c>
      <c r="Q39" s="35">
        <f t="shared" si="5"/>
        <v>0.6504457842424739</v>
      </c>
      <c r="R39" s="35">
        <f t="shared" si="5"/>
        <v>0.6582468061153719</v>
      </c>
      <c r="S39" s="35">
        <f t="shared" si="5"/>
        <v>0.6692022606344172</v>
      </c>
      <c r="T39" s="35">
        <f t="shared" si="5"/>
        <v>0.6800707691439004</v>
      </c>
      <c r="U39" s="35">
        <f t="shared" si="5"/>
        <v>0.6825078891177415</v>
      </c>
      <c r="V39" s="35">
        <f t="shared" si="5"/>
        <v>0.6882549071837312</v>
      </c>
    </row>
    <row r="40" spans="2:22" ht="12.75">
      <c r="B40" s="9">
        <f aca="true" t="shared" si="6" ref="B40:V40">B32-SUM(B37:B38)</f>
        <v>0</v>
      </c>
      <c r="C40" s="9">
        <f t="shared" si="6"/>
        <v>0</v>
      </c>
      <c r="D40" s="9">
        <f t="shared" si="6"/>
        <v>0</v>
      </c>
      <c r="E40" s="9">
        <f t="shared" si="6"/>
        <v>0</v>
      </c>
      <c r="F40" s="9">
        <f t="shared" si="6"/>
        <v>0</v>
      </c>
      <c r="G40" s="9">
        <f t="shared" si="6"/>
        <v>0</v>
      </c>
      <c r="H40" s="9">
        <f t="shared" si="6"/>
        <v>1</v>
      </c>
      <c r="I40" s="9">
        <f t="shared" si="6"/>
        <v>0</v>
      </c>
      <c r="J40" s="9">
        <f t="shared" si="6"/>
        <v>0</v>
      </c>
      <c r="K40" s="9">
        <f t="shared" si="6"/>
        <v>0</v>
      </c>
      <c r="L40" s="9">
        <f t="shared" si="6"/>
        <v>0</v>
      </c>
      <c r="M40" s="9">
        <f t="shared" si="6"/>
        <v>0</v>
      </c>
      <c r="N40" s="9">
        <f t="shared" si="6"/>
        <v>0</v>
      </c>
      <c r="O40" s="9">
        <f t="shared" si="6"/>
        <v>0</v>
      </c>
      <c r="P40" s="9">
        <f t="shared" si="6"/>
        <v>0</v>
      </c>
      <c r="Q40" s="9">
        <f t="shared" si="6"/>
        <v>-1</v>
      </c>
      <c r="R40" s="9">
        <f t="shared" si="6"/>
        <v>0</v>
      </c>
      <c r="S40" s="9">
        <f t="shared" si="6"/>
        <v>0</v>
      </c>
      <c r="T40" s="9">
        <f t="shared" si="6"/>
        <v>0</v>
      </c>
      <c r="U40" s="9">
        <f t="shared" si="6"/>
        <v>0</v>
      </c>
      <c r="V40" s="9">
        <f t="shared" si="6"/>
        <v>0</v>
      </c>
    </row>
    <row r="41" spans="1:22" ht="12.75">
      <c r="A41" s="16" t="s">
        <v>82</v>
      </c>
      <c r="R41" s="10"/>
      <c r="S41" s="10"/>
      <c r="T41" s="10"/>
      <c r="U41" s="10"/>
      <c r="V41" s="10"/>
    </row>
    <row r="42" spans="1:32" ht="12.75">
      <c r="A42" s="3" t="s">
        <v>78</v>
      </c>
      <c r="B42" s="14" t="s">
        <v>242</v>
      </c>
      <c r="C42" s="9">
        <v>51325</v>
      </c>
      <c r="D42" s="9">
        <v>52294</v>
      </c>
      <c r="E42" s="9">
        <v>53074</v>
      </c>
      <c r="F42" s="9">
        <v>53699</v>
      </c>
      <c r="G42" s="9">
        <v>54877</v>
      </c>
      <c r="H42" s="9">
        <v>55491</v>
      </c>
      <c r="I42" s="9">
        <v>56015</v>
      </c>
      <c r="J42" s="9">
        <v>58026</v>
      </c>
      <c r="K42" s="9">
        <v>58654</v>
      </c>
      <c r="L42" s="9">
        <v>66230</v>
      </c>
      <c r="M42" s="1">
        <v>67744</v>
      </c>
      <c r="N42" s="1">
        <v>69293</v>
      </c>
      <c r="O42" s="1">
        <v>68497</v>
      </c>
      <c r="P42" s="1">
        <v>69090</v>
      </c>
      <c r="Q42" s="1">
        <v>70683</v>
      </c>
      <c r="R42" s="9">
        <v>71317</v>
      </c>
      <c r="S42" s="9">
        <v>73259</v>
      </c>
      <c r="T42" s="9">
        <v>79146</v>
      </c>
      <c r="U42" s="9">
        <v>78369</v>
      </c>
      <c r="V42" s="9">
        <v>81258</v>
      </c>
      <c r="AF42" s="9"/>
    </row>
    <row r="43" spans="1:32" ht="12.75">
      <c r="A43" s="3" t="s">
        <v>79</v>
      </c>
      <c r="B43" s="14" t="s">
        <v>242</v>
      </c>
      <c r="C43" s="9">
        <v>19505</v>
      </c>
      <c r="D43" s="9">
        <v>20229</v>
      </c>
      <c r="E43" s="9">
        <v>20931</v>
      </c>
      <c r="F43" s="9">
        <v>21581</v>
      </c>
      <c r="G43" s="9">
        <v>22290</v>
      </c>
      <c r="H43" s="9">
        <v>23080</v>
      </c>
      <c r="I43" s="9">
        <v>24056</v>
      </c>
      <c r="J43" s="9">
        <v>25149</v>
      </c>
      <c r="K43" s="9">
        <v>25984</v>
      </c>
      <c r="L43" s="9">
        <v>22195</v>
      </c>
      <c r="M43" s="1">
        <v>23143</v>
      </c>
      <c r="N43" s="1">
        <v>24390</v>
      </c>
      <c r="O43" s="1">
        <v>24650</v>
      </c>
      <c r="P43" s="1">
        <v>25633</v>
      </c>
      <c r="Q43" s="1">
        <v>27010</v>
      </c>
      <c r="R43" s="9">
        <v>28170</v>
      </c>
      <c r="S43" s="9">
        <v>29544</v>
      </c>
      <c r="T43" s="9">
        <v>27115</v>
      </c>
      <c r="U43" s="9">
        <v>27474</v>
      </c>
      <c r="V43" s="9">
        <v>27613</v>
      </c>
      <c r="AF43" s="9"/>
    </row>
    <row r="44" spans="1:22" ht="12.75">
      <c r="A44" s="74" t="s">
        <v>148</v>
      </c>
      <c r="B44" s="10">
        <f aca="true" t="shared" si="7" ref="B44:V44">B32-SUM(B42:B43)</f>
        <v>69337</v>
      </c>
      <c r="C44" s="10">
        <f t="shared" si="7"/>
        <v>0</v>
      </c>
      <c r="D44" s="10">
        <f t="shared" si="7"/>
        <v>0</v>
      </c>
      <c r="E44" s="10">
        <f t="shared" si="7"/>
        <v>0</v>
      </c>
      <c r="F44" s="10">
        <f t="shared" si="7"/>
        <v>0</v>
      </c>
      <c r="G44" s="10">
        <f t="shared" si="7"/>
        <v>0</v>
      </c>
      <c r="H44" s="10">
        <f t="shared" si="7"/>
        <v>1</v>
      </c>
      <c r="I44" s="10">
        <f t="shared" si="7"/>
        <v>1</v>
      </c>
      <c r="J44" s="10">
        <f t="shared" si="7"/>
        <v>0</v>
      </c>
      <c r="K44" s="10">
        <f t="shared" si="7"/>
        <v>0</v>
      </c>
      <c r="L44" s="10">
        <f t="shared" si="7"/>
        <v>0</v>
      </c>
      <c r="M44" s="10">
        <f t="shared" si="7"/>
        <v>1</v>
      </c>
      <c r="N44" s="10">
        <f t="shared" si="7"/>
        <v>0</v>
      </c>
      <c r="O44" s="10">
        <f t="shared" si="7"/>
        <v>0</v>
      </c>
      <c r="P44" s="10">
        <f t="shared" si="7"/>
        <v>1</v>
      </c>
      <c r="Q44" s="10">
        <f t="shared" si="7"/>
        <v>0</v>
      </c>
      <c r="R44" s="10">
        <f t="shared" si="7"/>
        <v>0</v>
      </c>
      <c r="S44" s="10">
        <f t="shared" si="7"/>
        <v>0</v>
      </c>
      <c r="T44" s="10">
        <f t="shared" si="7"/>
        <v>0</v>
      </c>
      <c r="U44" s="10">
        <f t="shared" si="7"/>
        <v>-1</v>
      </c>
      <c r="V44" s="10">
        <f t="shared" si="7"/>
        <v>0</v>
      </c>
    </row>
    <row r="45" spans="1:22" ht="12.75">
      <c r="A45" s="2"/>
      <c r="R45" s="10"/>
      <c r="S45" s="10"/>
      <c r="T45" s="10"/>
      <c r="U45" s="10"/>
      <c r="V45" s="10"/>
    </row>
    <row r="46" spans="1:22" ht="12.75">
      <c r="A46" s="17" t="s">
        <v>83</v>
      </c>
      <c r="R46" s="10"/>
      <c r="S46" s="10"/>
      <c r="T46" s="10"/>
      <c r="U46" s="10"/>
      <c r="V46" s="10"/>
    </row>
    <row r="47" spans="1:22" ht="12.75">
      <c r="A47" s="2"/>
      <c r="R47" s="10"/>
      <c r="S47" s="10"/>
      <c r="T47" s="10"/>
      <c r="U47" s="10"/>
      <c r="V47" s="10"/>
    </row>
    <row r="48" spans="1:22" ht="12.75">
      <c r="A48" s="2" t="s">
        <v>344</v>
      </c>
      <c r="R48" s="10"/>
      <c r="S48" s="10"/>
      <c r="T48" s="10"/>
      <c r="U48" s="10"/>
      <c r="V48" s="10"/>
    </row>
    <row r="49" spans="1:32" ht="12.75">
      <c r="A49" s="2" t="s">
        <v>2</v>
      </c>
      <c r="B49" s="9">
        <v>47953</v>
      </c>
      <c r="C49" s="9">
        <v>48235</v>
      </c>
      <c r="D49" s="9">
        <v>49489</v>
      </c>
      <c r="E49" s="9">
        <v>50475</v>
      </c>
      <c r="F49" s="9">
        <v>51228</v>
      </c>
      <c r="G49" s="9">
        <v>52376</v>
      </c>
      <c r="H49" s="9">
        <v>53879</v>
      </c>
      <c r="I49" s="9">
        <v>54826</v>
      </c>
      <c r="J49" s="9">
        <v>56772</v>
      </c>
      <c r="K49" s="9">
        <v>57029</v>
      </c>
      <c r="L49" s="9">
        <v>58773</v>
      </c>
      <c r="M49" s="9">
        <v>60034</v>
      </c>
      <c r="N49" s="9">
        <v>61886</v>
      </c>
      <c r="O49" s="9">
        <v>61009</v>
      </c>
      <c r="P49" s="9">
        <v>62475</v>
      </c>
      <c r="Q49" s="9">
        <v>64365</v>
      </c>
      <c r="R49" s="9">
        <v>66278</v>
      </c>
      <c r="S49" s="9">
        <v>68600</v>
      </c>
      <c r="T49" s="9">
        <v>71527</v>
      </c>
      <c r="U49" s="9">
        <v>72882</v>
      </c>
      <c r="V49" s="9">
        <v>75416</v>
      </c>
      <c r="AF49" s="9"/>
    </row>
    <row r="50" spans="1:32" ht="12.75">
      <c r="A50" s="2" t="s">
        <v>3</v>
      </c>
      <c r="B50" s="9">
        <v>3334</v>
      </c>
      <c r="C50" s="9">
        <v>3049</v>
      </c>
      <c r="D50" s="9">
        <v>3129</v>
      </c>
      <c r="E50" s="9">
        <v>3136</v>
      </c>
      <c r="F50" s="9">
        <v>3105</v>
      </c>
      <c r="G50" s="9">
        <v>3147</v>
      </c>
      <c r="H50" s="9">
        <v>3401</v>
      </c>
      <c r="I50" s="9">
        <v>3429</v>
      </c>
      <c r="J50" s="9">
        <v>3691</v>
      </c>
      <c r="K50" s="9">
        <v>4453</v>
      </c>
      <c r="L50" s="9">
        <v>4451</v>
      </c>
      <c r="M50" s="9">
        <v>5422</v>
      </c>
      <c r="N50" s="9">
        <v>5583</v>
      </c>
      <c r="O50" s="9">
        <v>6082</v>
      </c>
      <c r="P50" s="9">
        <v>5965</v>
      </c>
      <c r="Q50" s="9">
        <v>6172</v>
      </c>
      <c r="R50" s="9">
        <v>6622</v>
      </c>
      <c r="S50" s="9">
        <v>7827</v>
      </c>
      <c r="T50" s="9">
        <v>8261</v>
      </c>
      <c r="U50" s="9">
        <v>7023</v>
      </c>
      <c r="V50" s="9">
        <v>6849</v>
      </c>
      <c r="AF50" s="9"/>
    </row>
    <row r="51" spans="1:32" ht="12.75">
      <c r="A51" s="2" t="s">
        <v>4</v>
      </c>
      <c r="B51" s="9">
        <v>9639</v>
      </c>
      <c r="C51" s="9">
        <v>9446</v>
      </c>
      <c r="D51" s="9">
        <v>9802</v>
      </c>
      <c r="E51" s="9">
        <v>10189</v>
      </c>
      <c r="F51" s="9">
        <v>10419</v>
      </c>
      <c r="G51" s="9">
        <v>10754</v>
      </c>
      <c r="H51" s="9">
        <v>10785</v>
      </c>
      <c r="I51" s="9">
        <v>10816</v>
      </c>
      <c r="J51" s="9">
        <v>11036</v>
      </c>
      <c r="K51" s="9">
        <v>11373</v>
      </c>
      <c r="L51" s="9">
        <v>11521</v>
      </c>
      <c r="M51" s="9">
        <v>10831</v>
      </c>
      <c r="N51" s="9">
        <v>11164</v>
      </c>
      <c r="O51" s="9">
        <v>10800</v>
      </c>
      <c r="P51" s="9">
        <v>10606</v>
      </c>
      <c r="Q51" s="9">
        <v>10576</v>
      </c>
      <c r="R51" s="9">
        <v>10234</v>
      </c>
      <c r="S51" s="9">
        <v>9802</v>
      </c>
      <c r="T51" s="9">
        <v>9249</v>
      </c>
      <c r="U51" s="9">
        <v>9863</v>
      </c>
      <c r="V51" s="9">
        <v>9883</v>
      </c>
      <c r="AF51" s="9"/>
    </row>
    <row r="52" spans="1:32" ht="12.75">
      <c r="A52" s="2" t="s">
        <v>5</v>
      </c>
      <c r="L52" s="9">
        <v>5061</v>
      </c>
      <c r="M52" s="9">
        <v>5295</v>
      </c>
      <c r="N52" s="9">
        <v>5500</v>
      </c>
      <c r="O52" s="9">
        <v>5312</v>
      </c>
      <c r="P52" s="9">
        <v>5445</v>
      </c>
      <c r="Q52" s="9">
        <v>5492</v>
      </c>
      <c r="R52" s="9">
        <v>5579</v>
      </c>
      <c r="S52" s="9">
        <v>5533</v>
      </c>
      <c r="T52" s="9">
        <v>5619</v>
      </c>
      <c r="U52" s="9">
        <v>5938</v>
      </c>
      <c r="V52" s="9">
        <v>5948</v>
      </c>
      <c r="AF52" s="9"/>
    </row>
    <row r="53" spans="1:32" ht="12.75">
      <c r="A53" s="2" t="s">
        <v>6</v>
      </c>
      <c r="L53" s="9">
        <v>4459</v>
      </c>
      <c r="M53" s="9">
        <v>4709</v>
      </c>
      <c r="N53" s="9">
        <v>4853</v>
      </c>
      <c r="O53" s="9">
        <v>4694</v>
      </c>
      <c r="P53" s="9">
        <v>4923</v>
      </c>
      <c r="Q53" s="9">
        <v>4999</v>
      </c>
      <c r="R53" s="9">
        <v>4966</v>
      </c>
      <c r="S53" s="9">
        <v>5084</v>
      </c>
      <c r="T53" s="9">
        <v>5304</v>
      </c>
      <c r="U53" s="9">
        <v>5355</v>
      </c>
      <c r="V53" s="9">
        <v>5602</v>
      </c>
      <c r="AF53" s="9"/>
    </row>
    <row r="54" spans="1:32" ht="12.75">
      <c r="A54" s="5" t="s">
        <v>7</v>
      </c>
      <c r="L54" s="9">
        <v>3383</v>
      </c>
      <c r="M54" s="9">
        <v>3562</v>
      </c>
      <c r="N54" s="9">
        <v>3607</v>
      </c>
      <c r="O54" s="9">
        <v>3655</v>
      </c>
      <c r="P54" s="9">
        <v>3720</v>
      </c>
      <c r="Q54" s="9">
        <v>3827</v>
      </c>
      <c r="R54" s="9">
        <v>3801</v>
      </c>
      <c r="S54" s="9">
        <v>3848</v>
      </c>
      <c r="T54" s="9">
        <v>3833</v>
      </c>
      <c r="U54" s="9">
        <v>3848</v>
      </c>
      <c r="V54" s="9">
        <v>4277</v>
      </c>
      <c r="AF54" s="9"/>
    </row>
    <row r="55" spans="1:32" ht="12.75">
      <c r="A55" s="5" t="s">
        <v>8</v>
      </c>
      <c r="L55" s="9">
        <v>3704</v>
      </c>
      <c r="M55" s="9">
        <v>3878</v>
      </c>
      <c r="N55" s="9">
        <v>3959</v>
      </c>
      <c r="O55" s="9">
        <v>3975</v>
      </c>
      <c r="P55" s="9">
        <v>3979</v>
      </c>
      <c r="Q55" s="9">
        <v>4085</v>
      </c>
      <c r="R55" s="9">
        <v>4139</v>
      </c>
      <c r="S55" s="9">
        <v>3813</v>
      </c>
      <c r="T55" s="9">
        <v>3995</v>
      </c>
      <c r="U55" s="9">
        <v>4160</v>
      </c>
      <c r="V55" s="9">
        <v>4571</v>
      </c>
      <c r="AF55" s="9"/>
    </row>
    <row r="56" spans="1:32" ht="12.75">
      <c r="A56" s="13" t="s">
        <v>138</v>
      </c>
      <c r="B56" s="10">
        <v>11089</v>
      </c>
      <c r="C56" s="10">
        <v>11441</v>
      </c>
      <c r="D56" s="9">
        <v>11792</v>
      </c>
      <c r="E56" s="10">
        <v>11888</v>
      </c>
      <c r="F56" s="10">
        <v>12271</v>
      </c>
      <c r="G56" s="10">
        <v>12885</v>
      </c>
      <c r="H56" s="10">
        <v>12910</v>
      </c>
      <c r="I56" s="10">
        <v>13183</v>
      </c>
      <c r="J56" s="10">
        <v>14240</v>
      </c>
      <c r="K56" s="10">
        <v>14820</v>
      </c>
      <c r="L56" s="10">
        <f aca="true" t="shared" si="8" ref="L56:V56">SUM(L52:L55)</f>
        <v>16607</v>
      </c>
      <c r="M56" s="10">
        <f t="shared" si="8"/>
        <v>17444</v>
      </c>
      <c r="N56" s="10">
        <f t="shared" si="8"/>
        <v>17919</v>
      </c>
      <c r="O56" s="10">
        <f t="shared" si="8"/>
        <v>17636</v>
      </c>
      <c r="P56" s="10">
        <f t="shared" si="8"/>
        <v>18067</v>
      </c>
      <c r="Q56" s="10">
        <f t="shared" si="8"/>
        <v>18403</v>
      </c>
      <c r="R56" s="10">
        <f t="shared" si="8"/>
        <v>18485</v>
      </c>
      <c r="S56" s="10">
        <f t="shared" si="8"/>
        <v>18278</v>
      </c>
      <c r="T56" s="10">
        <f t="shared" si="8"/>
        <v>18751</v>
      </c>
      <c r="U56" s="10">
        <f t="shared" si="8"/>
        <v>19301</v>
      </c>
      <c r="V56" s="10">
        <f t="shared" si="8"/>
        <v>20398</v>
      </c>
      <c r="AF56" s="9"/>
    </row>
    <row r="57" spans="1:32" ht="12.75">
      <c r="A57" s="2" t="s">
        <v>9</v>
      </c>
      <c r="B57" s="9">
        <v>3278</v>
      </c>
      <c r="C57" s="9">
        <v>3715</v>
      </c>
      <c r="D57" s="9">
        <v>3342</v>
      </c>
      <c r="E57" s="9">
        <v>3627</v>
      </c>
      <c r="F57" s="9">
        <v>3693</v>
      </c>
      <c r="G57" s="9">
        <v>3671</v>
      </c>
      <c r="H57" s="9">
        <v>3610</v>
      </c>
      <c r="I57" s="9">
        <v>3770</v>
      </c>
      <c r="J57" s="9">
        <v>3871</v>
      </c>
      <c r="K57" s="9">
        <v>3999</v>
      </c>
      <c r="L57" s="9">
        <v>5396</v>
      </c>
      <c r="M57" s="9">
        <v>6084</v>
      </c>
      <c r="N57" s="9">
        <v>6228</v>
      </c>
      <c r="O57" s="9">
        <v>6338</v>
      </c>
      <c r="P57" s="9">
        <v>6409</v>
      </c>
      <c r="Q57" s="9">
        <v>6886</v>
      </c>
      <c r="R57" s="9">
        <v>7572</v>
      </c>
      <c r="S57" s="9">
        <v>7784</v>
      </c>
      <c r="T57" s="9">
        <v>8249</v>
      </c>
      <c r="U57" s="9">
        <v>8142</v>
      </c>
      <c r="V57" s="9">
        <v>7986</v>
      </c>
      <c r="AF57" s="9"/>
    </row>
    <row r="58" spans="1:22" ht="12.75">
      <c r="A58" s="74" t="s">
        <v>148</v>
      </c>
      <c r="B58" s="10">
        <f aca="true" t="shared" si="9" ref="B58:K58">B24-SUM(B49:B57)</f>
        <v>0</v>
      </c>
      <c r="C58" s="10">
        <f t="shared" si="9"/>
        <v>0</v>
      </c>
      <c r="D58" s="10">
        <f t="shared" si="9"/>
        <v>-1</v>
      </c>
      <c r="E58" s="10">
        <f t="shared" si="9"/>
        <v>1</v>
      </c>
      <c r="F58" s="10">
        <f t="shared" si="9"/>
        <v>0</v>
      </c>
      <c r="G58" s="10">
        <f t="shared" si="9"/>
        <v>0</v>
      </c>
      <c r="H58" s="10">
        <f t="shared" si="9"/>
        <v>1</v>
      </c>
      <c r="I58" s="10">
        <f t="shared" si="9"/>
        <v>0</v>
      </c>
      <c r="J58" s="10">
        <f t="shared" si="9"/>
        <v>0</v>
      </c>
      <c r="K58" s="10">
        <f t="shared" si="9"/>
        <v>1</v>
      </c>
      <c r="L58" s="10">
        <f aca="true" t="shared" si="10" ref="L58:V58">L24-SUM(L49:L57)+L56</f>
        <v>1</v>
      </c>
      <c r="M58" s="10">
        <f t="shared" si="10"/>
        <v>0</v>
      </c>
      <c r="N58" s="10">
        <f t="shared" si="10"/>
        <v>0</v>
      </c>
      <c r="O58" s="10">
        <f t="shared" si="10"/>
        <v>-1</v>
      </c>
      <c r="P58" s="10">
        <f t="shared" si="10"/>
        <v>0</v>
      </c>
      <c r="Q58" s="10">
        <f t="shared" si="10"/>
        <v>1</v>
      </c>
      <c r="R58" s="10">
        <f t="shared" si="10"/>
        <v>0</v>
      </c>
      <c r="S58" s="10">
        <f t="shared" si="10"/>
        <v>1</v>
      </c>
      <c r="T58" s="10">
        <f t="shared" si="10"/>
        <v>1</v>
      </c>
      <c r="U58" s="10">
        <f t="shared" si="10"/>
        <v>0</v>
      </c>
      <c r="V58" s="10">
        <f t="shared" si="10"/>
        <v>0</v>
      </c>
    </row>
    <row r="59" spans="1:22" ht="12.75">
      <c r="A59" s="2"/>
      <c r="R59" s="10"/>
      <c r="S59" s="10"/>
      <c r="T59" s="10"/>
      <c r="U59" s="10"/>
      <c r="V59" s="10"/>
    </row>
    <row r="60" spans="1:22" ht="12.75">
      <c r="A60" s="2" t="s">
        <v>345</v>
      </c>
      <c r="R60" s="10"/>
      <c r="S60" s="10"/>
      <c r="T60" s="10"/>
      <c r="U60" s="10"/>
      <c r="V60" s="10"/>
    </row>
    <row r="61" spans="1:33" ht="12.75">
      <c r="A61" s="3" t="s">
        <v>77</v>
      </c>
      <c r="B61" s="14" t="s">
        <v>242</v>
      </c>
      <c r="C61" s="14" t="s">
        <v>242</v>
      </c>
      <c r="D61" s="14" t="s">
        <v>242</v>
      </c>
      <c r="E61" s="14" t="s">
        <v>242</v>
      </c>
      <c r="F61" s="14" t="s">
        <v>242</v>
      </c>
      <c r="G61" s="14" t="s">
        <v>242</v>
      </c>
      <c r="H61" s="14" t="s">
        <v>242</v>
      </c>
      <c r="I61" s="14" t="s">
        <v>242</v>
      </c>
      <c r="J61" s="14" t="s">
        <v>242</v>
      </c>
      <c r="K61" s="14" t="s">
        <v>242</v>
      </c>
      <c r="L61" s="14" t="s">
        <v>242</v>
      </c>
      <c r="M61" s="14" t="s">
        <v>242</v>
      </c>
      <c r="N61" s="14" t="s">
        <v>242</v>
      </c>
      <c r="O61" s="14" t="s">
        <v>242</v>
      </c>
      <c r="P61" s="14" t="s">
        <v>242</v>
      </c>
      <c r="Q61" s="14" t="s">
        <v>242</v>
      </c>
      <c r="R61" s="9" t="s">
        <v>242</v>
      </c>
      <c r="S61" s="9" t="s">
        <v>242</v>
      </c>
      <c r="T61" s="9" t="s">
        <v>242</v>
      </c>
      <c r="U61" s="9" t="s">
        <v>242</v>
      </c>
      <c r="V61" s="9">
        <v>923</v>
      </c>
      <c r="AF61" s="9"/>
      <c r="AG61" s="9"/>
    </row>
    <row r="62" spans="1:33" ht="12.75">
      <c r="A62" s="2" t="s">
        <v>10</v>
      </c>
      <c r="B62" s="14" t="s">
        <v>242</v>
      </c>
      <c r="C62" s="14" t="s">
        <v>242</v>
      </c>
      <c r="D62" s="14" t="s">
        <v>242</v>
      </c>
      <c r="E62" s="14" t="s">
        <v>242</v>
      </c>
      <c r="F62" s="14" t="s">
        <v>242</v>
      </c>
      <c r="G62" s="14" t="s">
        <v>242</v>
      </c>
      <c r="H62" s="14" t="s">
        <v>242</v>
      </c>
      <c r="I62" s="14" t="s">
        <v>242</v>
      </c>
      <c r="J62" s="14" t="s">
        <v>242</v>
      </c>
      <c r="K62" s="14" t="s">
        <v>242</v>
      </c>
      <c r="L62" s="14" t="s">
        <v>242</v>
      </c>
      <c r="M62" s="14" t="s">
        <v>242</v>
      </c>
      <c r="N62" s="14" t="s">
        <v>242</v>
      </c>
      <c r="O62" s="14" t="s">
        <v>242</v>
      </c>
      <c r="P62" s="14" t="s">
        <v>242</v>
      </c>
      <c r="Q62" s="14" t="s">
        <v>242</v>
      </c>
      <c r="R62" s="9" t="s">
        <v>242</v>
      </c>
      <c r="S62" s="9" t="s">
        <v>242</v>
      </c>
      <c r="T62" s="9">
        <v>3045</v>
      </c>
      <c r="U62" s="9">
        <v>6036</v>
      </c>
      <c r="V62" s="9">
        <v>8894</v>
      </c>
      <c r="AF62" s="9"/>
      <c r="AG62" s="9"/>
    </row>
    <row r="63" spans="1:33" ht="12.75">
      <c r="A63" s="2" t="s">
        <v>11</v>
      </c>
      <c r="B63" s="14" t="s">
        <v>242</v>
      </c>
      <c r="C63" s="14" t="s">
        <v>242</v>
      </c>
      <c r="D63" s="14" t="s">
        <v>242</v>
      </c>
      <c r="E63" s="14" t="s">
        <v>242</v>
      </c>
      <c r="F63" s="14" t="s">
        <v>242</v>
      </c>
      <c r="G63" s="14" t="s">
        <v>242</v>
      </c>
      <c r="H63" s="14" t="s">
        <v>242</v>
      </c>
      <c r="I63" s="14" t="s">
        <v>242</v>
      </c>
      <c r="J63" s="14" t="s">
        <v>242</v>
      </c>
      <c r="K63" s="14" t="s">
        <v>242</v>
      </c>
      <c r="L63" s="14" t="s">
        <v>242</v>
      </c>
      <c r="M63" s="14" t="s">
        <v>242</v>
      </c>
      <c r="N63" s="14" t="s">
        <v>242</v>
      </c>
      <c r="O63" s="14" t="s">
        <v>242</v>
      </c>
      <c r="P63" s="14" t="s">
        <v>242</v>
      </c>
      <c r="Q63" s="9">
        <v>957</v>
      </c>
      <c r="R63" s="9">
        <v>4518</v>
      </c>
      <c r="S63" s="9">
        <v>8190</v>
      </c>
      <c r="T63" s="9">
        <v>8685</v>
      </c>
      <c r="U63" s="9">
        <v>8624</v>
      </c>
      <c r="V63" s="9">
        <v>8572</v>
      </c>
      <c r="AF63" s="9"/>
      <c r="AG63" s="9"/>
    </row>
    <row r="64" spans="1:33" ht="12.75">
      <c r="A64" s="2" t="s">
        <v>12</v>
      </c>
      <c r="B64" s="14" t="s">
        <v>242</v>
      </c>
      <c r="C64" s="14" t="s">
        <v>242</v>
      </c>
      <c r="D64" s="14" t="s">
        <v>242</v>
      </c>
      <c r="E64" s="14" t="s">
        <v>242</v>
      </c>
      <c r="F64" s="14" t="s">
        <v>242</v>
      </c>
      <c r="G64" s="14" t="s">
        <v>242</v>
      </c>
      <c r="H64" s="14" t="s">
        <v>242</v>
      </c>
      <c r="I64" s="14" t="s">
        <v>242</v>
      </c>
      <c r="J64" s="14" t="s">
        <v>242</v>
      </c>
      <c r="K64" s="14" t="s">
        <v>242</v>
      </c>
      <c r="L64" s="14" t="s">
        <v>242</v>
      </c>
      <c r="M64" s="14" t="s">
        <v>242</v>
      </c>
      <c r="N64" s="9">
        <v>3</v>
      </c>
      <c r="O64" s="9">
        <v>2346</v>
      </c>
      <c r="P64" s="9">
        <v>5034</v>
      </c>
      <c r="Q64" s="9">
        <v>7452</v>
      </c>
      <c r="R64" s="9">
        <v>7030</v>
      </c>
      <c r="S64" s="9">
        <v>7025</v>
      </c>
      <c r="T64" s="9">
        <v>7031</v>
      </c>
      <c r="U64" s="9">
        <v>6928</v>
      </c>
      <c r="V64" s="9">
        <v>6946</v>
      </c>
      <c r="AF64" s="9"/>
      <c r="AG64" s="9"/>
    </row>
    <row r="65" spans="1:33" ht="12.75">
      <c r="A65" s="2" t="s">
        <v>13</v>
      </c>
      <c r="B65" s="14" t="s">
        <v>242</v>
      </c>
      <c r="C65" s="14" t="s">
        <v>242</v>
      </c>
      <c r="D65" s="14" t="s">
        <v>242</v>
      </c>
      <c r="E65" s="14" t="s">
        <v>242</v>
      </c>
      <c r="F65" s="14" t="s">
        <v>242</v>
      </c>
      <c r="G65" s="14" t="s">
        <v>242</v>
      </c>
      <c r="H65" s="14" t="s">
        <v>242</v>
      </c>
      <c r="I65" s="14" t="s">
        <v>242</v>
      </c>
      <c r="J65" s="14" t="s">
        <v>242</v>
      </c>
      <c r="K65" s="14" t="s">
        <v>242</v>
      </c>
      <c r="L65" s="9">
        <v>1488</v>
      </c>
      <c r="M65" s="9">
        <v>5246</v>
      </c>
      <c r="N65" s="9">
        <v>8891</v>
      </c>
      <c r="O65" s="9">
        <v>8794</v>
      </c>
      <c r="P65" s="9">
        <v>8714</v>
      </c>
      <c r="Q65" s="9">
        <v>8786</v>
      </c>
      <c r="R65" s="9">
        <v>8704</v>
      </c>
      <c r="S65" s="9">
        <v>8681</v>
      </c>
      <c r="T65" s="9">
        <v>8678</v>
      </c>
      <c r="U65" s="9">
        <v>8627</v>
      </c>
      <c r="V65" s="9">
        <v>8638</v>
      </c>
      <c r="AF65" s="9"/>
      <c r="AG65" s="9"/>
    </row>
    <row r="66" spans="1:33" ht="12.75">
      <c r="A66" s="2" t="s">
        <v>14</v>
      </c>
      <c r="B66" s="14" t="s">
        <v>242</v>
      </c>
      <c r="C66" s="14" t="s">
        <v>242</v>
      </c>
      <c r="D66" s="14" t="s">
        <v>242</v>
      </c>
      <c r="E66" s="14" t="s">
        <v>242</v>
      </c>
      <c r="F66" s="14" t="s">
        <v>242</v>
      </c>
      <c r="G66" s="14" t="s">
        <v>242</v>
      </c>
      <c r="H66" s="14" t="s">
        <v>242</v>
      </c>
      <c r="I66" s="14"/>
      <c r="J66" s="14"/>
      <c r="K66" s="14"/>
      <c r="L66" s="9">
        <v>8172</v>
      </c>
      <c r="M66" s="9">
        <v>8087</v>
      </c>
      <c r="N66" s="9">
        <v>7983</v>
      </c>
      <c r="O66" s="9">
        <v>8061</v>
      </c>
      <c r="P66" s="9">
        <v>7948</v>
      </c>
      <c r="Q66" s="9">
        <v>8000</v>
      </c>
      <c r="R66" s="9">
        <v>7536</v>
      </c>
      <c r="S66" s="9">
        <v>7415</v>
      </c>
      <c r="T66" s="9">
        <v>7467</v>
      </c>
      <c r="U66" s="9">
        <v>7365</v>
      </c>
      <c r="V66" s="9">
        <v>7241</v>
      </c>
      <c r="AF66" s="9"/>
      <c r="AG66" s="9"/>
    </row>
    <row r="67" spans="1:33" ht="12.75">
      <c r="A67" s="2" t="s">
        <v>15</v>
      </c>
      <c r="B67" s="14" t="s">
        <v>242</v>
      </c>
      <c r="C67" s="14" t="s">
        <v>242</v>
      </c>
      <c r="D67" s="14"/>
      <c r="E67" s="14"/>
      <c r="F67" s="14"/>
      <c r="G67" s="14"/>
      <c r="H67" s="14"/>
      <c r="I67" s="14"/>
      <c r="J67" s="14"/>
      <c r="K67" s="14"/>
      <c r="L67" s="9">
        <v>13981</v>
      </c>
      <c r="M67" s="9">
        <v>12485</v>
      </c>
      <c r="N67" s="9">
        <v>12486</v>
      </c>
      <c r="O67" s="9">
        <v>11834</v>
      </c>
      <c r="P67" s="9">
        <v>11542</v>
      </c>
      <c r="Q67" s="9">
        <v>11992</v>
      </c>
      <c r="R67" s="9">
        <v>11340</v>
      </c>
      <c r="S67" s="9">
        <v>11429</v>
      </c>
      <c r="T67" s="9">
        <v>11729</v>
      </c>
      <c r="U67" s="9">
        <v>11927</v>
      </c>
      <c r="V67" s="9">
        <v>13941</v>
      </c>
      <c r="AF67" s="9"/>
      <c r="AG67" s="9"/>
    </row>
    <row r="68" spans="1:33" ht="12.75">
      <c r="A68" s="2" t="s">
        <v>16</v>
      </c>
      <c r="L68" s="9">
        <v>11520</v>
      </c>
      <c r="M68" s="9">
        <v>11592</v>
      </c>
      <c r="N68" s="9">
        <v>11396</v>
      </c>
      <c r="O68" s="9">
        <v>11074</v>
      </c>
      <c r="P68" s="9">
        <v>11073</v>
      </c>
      <c r="Q68" s="9">
        <v>10940</v>
      </c>
      <c r="R68" s="9">
        <v>11127</v>
      </c>
      <c r="S68" s="9">
        <v>11062</v>
      </c>
      <c r="T68" s="9">
        <v>11124</v>
      </c>
      <c r="U68" s="9">
        <v>10739</v>
      </c>
      <c r="V68" s="9">
        <v>10319</v>
      </c>
      <c r="AF68" s="9"/>
      <c r="AG68" s="9"/>
    </row>
    <row r="69" spans="1:33" ht="12.75">
      <c r="A69" s="17" t="s">
        <v>320</v>
      </c>
      <c r="B69" s="52">
        <v>7979</v>
      </c>
      <c r="C69" s="52">
        <v>9882</v>
      </c>
      <c r="D69" s="52">
        <v>11212</v>
      </c>
      <c r="E69" s="52">
        <v>12493</v>
      </c>
      <c r="F69" s="52">
        <v>14559</v>
      </c>
      <c r="G69" s="52">
        <v>16357</v>
      </c>
      <c r="H69" s="52">
        <v>18146</v>
      </c>
      <c r="I69" s="52">
        <v>19735</v>
      </c>
      <c r="J69" s="52">
        <v>21545</v>
      </c>
      <c r="K69" s="52">
        <v>23686</v>
      </c>
      <c r="AF69" s="9"/>
      <c r="AG69" s="9"/>
    </row>
    <row r="70" spans="1:33" ht="12.75">
      <c r="A70" s="2" t="s">
        <v>17</v>
      </c>
      <c r="B70" s="52">
        <f>7908+10181</f>
        <v>18089</v>
      </c>
      <c r="C70" s="52">
        <f>9296+7865</f>
        <v>17161</v>
      </c>
      <c r="D70" s="52">
        <v>17891</v>
      </c>
      <c r="E70" s="52">
        <f>9581+8093</f>
        <v>17674</v>
      </c>
      <c r="F70" s="52">
        <f>9344+8108</f>
        <v>17452</v>
      </c>
      <c r="G70" s="52">
        <f>9426+8071</f>
        <v>17497</v>
      </c>
      <c r="H70" s="52">
        <f>9402+8190</f>
        <v>17592</v>
      </c>
      <c r="I70" s="52">
        <f>9401+8223</f>
        <v>17624</v>
      </c>
      <c r="J70" s="52">
        <f>9698+8295</f>
        <v>17993</v>
      </c>
      <c r="K70" s="52">
        <f>9693+8451</f>
        <v>18144</v>
      </c>
      <c r="L70" s="9">
        <v>16025</v>
      </c>
      <c r="M70" s="9">
        <v>16296</v>
      </c>
      <c r="N70" s="9">
        <v>16296</v>
      </c>
      <c r="O70" s="9">
        <v>15693</v>
      </c>
      <c r="P70" s="9">
        <v>15532</v>
      </c>
      <c r="Q70" s="9">
        <v>15334</v>
      </c>
      <c r="R70" s="9">
        <v>15484</v>
      </c>
      <c r="S70" s="9">
        <v>15355</v>
      </c>
      <c r="T70" s="9">
        <v>15417</v>
      </c>
      <c r="U70" s="9">
        <v>15002</v>
      </c>
      <c r="V70" s="9">
        <v>14706</v>
      </c>
      <c r="AF70" s="9"/>
      <c r="AG70" s="9"/>
    </row>
    <row r="71" spans="1:33" ht="12.75">
      <c r="A71" s="2" t="s">
        <v>18</v>
      </c>
      <c r="B71" s="9">
        <v>13548</v>
      </c>
      <c r="C71" s="9">
        <v>13627</v>
      </c>
      <c r="D71" s="9">
        <v>13600</v>
      </c>
      <c r="E71" s="9">
        <v>13840</v>
      </c>
      <c r="F71" s="9">
        <v>13767</v>
      </c>
      <c r="G71" s="9">
        <v>13845</v>
      </c>
      <c r="H71" s="9">
        <v>13982</v>
      </c>
      <c r="I71" s="9">
        <v>14043</v>
      </c>
      <c r="J71" s="9">
        <v>14394</v>
      </c>
      <c r="K71" s="9">
        <v>14331</v>
      </c>
      <c r="L71" s="9">
        <v>13558</v>
      </c>
      <c r="M71" s="9">
        <v>13882</v>
      </c>
      <c r="N71" s="9">
        <v>13865</v>
      </c>
      <c r="O71" s="9">
        <v>13416</v>
      </c>
      <c r="P71" s="9">
        <v>13227</v>
      </c>
      <c r="Q71" s="9">
        <v>13198</v>
      </c>
      <c r="R71" s="9">
        <v>13412</v>
      </c>
      <c r="S71" s="9">
        <v>13213</v>
      </c>
      <c r="T71" s="9">
        <v>13413</v>
      </c>
      <c r="U71" s="9">
        <v>13033</v>
      </c>
      <c r="V71" s="9">
        <v>12637</v>
      </c>
      <c r="AF71" s="9"/>
      <c r="AG71" s="9"/>
    </row>
    <row r="72" spans="1:33" ht="12.75">
      <c r="A72" s="2" t="s">
        <v>19</v>
      </c>
      <c r="B72" s="9">
        <v>8097</v>
      </c>
      <c r="C72" s="9">
        <v>8021</v>
      </c>
      <c r="D72" s="9">
        <v>7974</v>
      </c>
      <c r="E72" s="9">
        <v>8103</v>
      </c>
      <c r="F72" s="9">
        <v>7993</v>
      </c>
      <c r="G72" s="9">
        <v>8007</v>
      </c>
      <c r="H72" s="9">
        <v>7963</v>
      </c>
      <c r="I72" s="9">
        <v>7945</v>
      </c>
      <c r="J72" s="9">
        <v>8096</v>
      </c>
      <c r="K72" s="9">
        <v>8101</v>
      </c>
      <c r="L72" s="9">
        <v>8524</v>
      </c>
      <c r="M72" s="9">
        <v>8698</v>
      </c>
      <c r="N72" s="9">
        <v>8586</v>
      </c>
      <c r="O72" s="9">
        <v>8381</v>
      </c>
      <c r="P72" s="9">
        <v>8276</v>
      </c>
      <c r="Q72" s="9">
        <v>8172</v>
      </c>
      <c r="R72" s="9">
        <v>8155</v>
      </c>
      <c r="S72" s="9">
        <v>8122</v>
      </c>
      <c r="T72" s="9">
        <v>8038</v>
      </c>
      <c r="U72" s="9">
        <v>7915</v>
      </c>
      <c r="V72" s="9">
        <v>7626</v>
      </c>
      <c r="AF72" s="9"/>
      <c r="AG72" s="9"/>
    </row>
    <row r="73" spans="1:33" ht="12.75">
      <c r="A73" s="5" t="s">
        <v>20</v>
      </c>
      <c r="L73" s="9">
        <v>6690</v>
      </c>
      <c r="M73" s="9">
        <v>6831</v>
      </c>
      <c r="N73" s="9">
        <v>6797</v>
      </c>
      <c r="O73" s="9">
        <v>6579</v>
      </c>
      <c r="P73" s="9">
        <v>6525</v>
      </c>
      <c r="Q73" s="9">
        <v>6320</v>
      </c>
      <c r="R73" s="9">
        <v>6526</v>
      </c>
      <c r="S73" s="9">
        <v>6384</v>
      </c>
      <c r="T73" s="9">
        <v>6405</v>
      </c>
      <c r="U73" s="9">
        <v>6180</v>
      </c>
      <c r="V73" s="9">
        <v>5826</v>
      </c>
      <c r="AF73" s="9"/>
      <c r="AG73" s="9"/>
    </row>
    <row r="74" spans="1:33" ht="12.75">
      <c r="A74" s="5" t="s">
        <v>21</v>
      </c>
      <c r="L74" s="9">
        <v>5967</v>
      </c>
      <c r="M74" s="9">
        <v>6023</v>
      </c>
      <c r="N74" s="9">
        <v>5826</v>
      </c>
      <c r="O74" s="9">
        <v>5601</v>
      </c>
      <c r="P74" s="9">
        <v>5579</v>
      </c>
      <c r="Q74" s="9">
        <v>5459</v>
      </c>
      <c r="R74" s="9">
        <v>5497</v>
      </c>
      <c r="S74" s="9">
        <v>5487</v>
      </c>
      <c r="T74" s="9">
        <v>5384</v>
      </c>
      <c r="U74" s="9">
        <v>5410</v>
      </c>
      <c r="V74" s="9">
        <v>5186</v>
      </c>
      <c r="AF74" s="9"/>
      <c r="AG74" s="9"/>
    </row>
    <row r="75" spans="1:33" ht="12.75">
      <c r="A75" s="2" t="s">
        <v>22</v>
      </c>
      <c r="L75" s="9">
        <v>10822</v>
      </c>
      <c r="M75" s="9">
        <v>10674</v>
      </c>
      <c r="N75" s="9">
        <v>10651</v>
      </c>
      <c r="O75" s="9">
        <v>10084</v>
      </c>
      <c r="P75" s="9">
        <v>10071</v>
      </c>
      <c r="Q75" s="9">
        <v>9792</v>
      </c>
      <c r="R75" s="9">
        <v>9861</v>
      </c>
      <c r="S75" s="9">
        <v>9929</v>
      </c>
      <c r="T75" s="9">
        <v>9622</v>
      </c>
      <c r="U75" s="9">
        <v>9423</v>
      </c>
      <c r="V75" s="9">
        <v>9076</v>
      </c>
      <c r="AF75" s="9"/>
      <c r="AG75" s="9"/>
    </row>
    <row r="76" spans="1:33" ht="12.75">
      <c r="A76" s="3" t="s">
        <v>139</v>
      </c>
      <c r="B76" s="10">
        <v>27581</v>
      </c>
      <c r="C76" s="10">
        <v>27194</v>
      </c>
      <c r="D76" s="9">
        <v>26877</v>
      </c>
      <c r="E76" s="10">
        <v>27206</v>
      </c>
      <c r="F76" s="10">
        <v>26945</v>
      </c>
      <c r="G76" s="10">
        <v>27127</v>
      </c>
      <c r="H76" s="10">
        <v>26904</v>
      </c>
      <c r="I76" s="10">
        <v>26677</v>
      </c>
      <c r="J76" s="10">
        <v>27582</v>
      </c>
      <c r="K76" s="10">
        <v>27413</v>
      </c>
      <c r="L76" s="10">
        <f aca="true" t="shared" si="11" ref="L76:V76">SUM(L73:L75)</f>
        <v>23479</v>
      </c>
      <c r="M76" s="10">
        <f t="shared" si="11"/>
        <v>23528</v>
      </c>
      <c r="N76" s="10">
        <f t="shared" si="11"/>
        <v>23274</v>
      </c>
      <c r="O76" s="10">
        <f t="shared" si="11"/>
        <v>22264</v>
      </c>
      <c r="P76" s="10">
        <f t="shared" si="11"/>
        <v>22175</v>
      </c>
      <c r="Q76" s="10">
        <f t="shared" si="11"/>
        <v>21571</v>
      </c>
      <c r="R76" s="10">
        <f t="shared" si="11"/>
        <v>21884</v>
      </c>
      <c r="S76" s="10">
        <f t="shared" si="11"/>
        <v>21800</v>
      </c>
      <c r="T76" s="10">
        <f t="shared" si="11"/>
        <v>21411</v>
      </c>
      <c r="U76" s="10">
        <f t="shared" si="11"/>
        <v>21013</v>
      </c>
      <c r="V76" s="10">
        <f t="shared" si="11"/>
        <v>20088</v>
      </c>
      <c r="AF76" s="9"/>
      <c r="AG76" s="9"/>
    </row>
    <row r="77" spans="1:22" ht="12.75">
      <c r="A77" s="8" t="s">
        <v>148</v>
      </c>
      <c r="B77" s="9">
        <f>B24-SUM(B69:B76)</f>
        <v>-1</v>
      </c>
      <c r="C77" s="9">
        <f>C24-SUM(C69:C76)</f>
        <v>1</v>
      </c>
      <c r="D77" s="9">
        <f>D24-SUM(D69:D76)</f>
        <v>-1</v>
      </c>
      <c r="E77" s="9">
        <f>E24-SUM(E69:E76)</f>
        <v>0</v>
      </c>
      <c r="F77" s="9">
        <f aca="true" t="shared" si="12" ref="F77:K77">F24-SUM(F68:F76)</f>
        <v>0</v>
      </c>
      <c r="G77" s="9">
        <f t="shared" si="12"/>
        <v>0</v>
      </c>
      <c r="H77" s="9">
        <f t="shared" si="12"/>
        <v>-1</v>
      </c>
      <c r="I77" s="9">
        <f t="shared" si="12"/>
        <v>0</v>
      </c>
      <c r="J77" s="9">
        <f t="shared" si="12"/>
        <v>0</v>
      </c>
      <c r="K77" s="9">
        <f t="shared" si="12"/>
        <v>0</v>
      </c>
      <c r="L77" s="10">
        <f aca="true" t="shared" si="13" ref="L77:V77">L24-SUM(L61:L75)</f>
        <v>2</v>
      </c>
      <c r="M77" s="10">
        <f t="shared" si="13"/>
        <v>1</v>
      </c>
      <c r="N77" s="10">
        <f t="shared" si="13"/>
        <v>0</v>
      </c>
      <c r="O77" s="10">
        <f t="shared" si="13"/>
        <v>1</v>
      </c>
      <c r="P77" s="10">
        <f t="shared" si="13"/>
        <v>1</v>
      </c>
      <c r="Q77" s="10">
        <f t="shared" si="13"/>
        <v>1</v>
      </c>
      <c r="R77" s="10">
        <f t="shared" si="13"/>
        <v>1</v>
      </c>
      <c r="S77" s="10">
        <f t="shared" si="13"/>
        <v>0</v>
      </c>
      <c r="T77" s="10">
        <f t="shared" si="13"/>
        <v>0</v>
      </c>
      <c r="U77" s="10">
        <f t="shared" si="13"/>
        <v>2</v>
      </c>
      <c r="V77" s="10">
        <f t="shared" si="13"/>
        <v>1</v>
      </c>
    </row>
    <row r="78" spans="9:22" ht="12.75">
      <c r="I78" s="52"/>
      <c r="J78" s="52"/>
      <c r="K78" s="52" t="s">
        <v>140</v>
      </c>
      <c r="R78" s="10"/>
      <c r="S78" s="10"/>
      <c r="T78" s="10"/>
      <c r="U78" s="10"/>
      <c r="V78" s="10"/>
    </row>
    <row r="79" spans="1:22" ht="12.75">
      <c r="A79" s="19" t="s">
        <v>84</v>
      </c>
      <c r="R79" s="10"/>
      <c r="S79" s="10"/>
      <c r="T79" s="10"/>
      <c r="U79" s="10"/>
      <c r="V79" s="10"/>
    </row>
    <row r="80" spans="18:22" ht="12.75">
      <c r="R80" s="10"/>
      <c r="S80" s="10"/>
      <c r="T80" s="10"/>
      <c r="U80" s="10"/>
      <c r="V80" s="10"/>
    </row>
    <row r="81" spans="1:22" ht="12.75">
      <c r="A81" s="4" t="s">
        <v>346</v>
      </c>
      <c r="R81" s="10"/>
      <c r="S81" s="10"/>
      <c r="T81" s="10"/>
      <c r="U81" s="10"/>
      <c r="V81" s="10"/>
    </row>
    <row r="82" spans="1:22" ht="12.75">
      <c r="A82" s="4" t="s">
        <v>23</v>
      </c>
      <c r="B82" s="14" t="s">
        <v>242</v>
      </c>
      <c r="C82" s="14" t="s">
        <v>242</v>
      </c>
      <c r="D82">
        <v>1291</v>
      </c>
      <c r="E82" s="9">
        <v>1343</v>
      </c>
      <c r="F82" s="9">
        <v>1395</v>
      </c>
      <c r="G82" s="9">
        <v>1483</v>
      </c>
      <c r="H82" s="9">
        <v>1409</v>
      </c>
      <c r="I82" s="9">
        <v>1498</v>
      </c>
      <c r="J82" s="9">
        <v>1520</v>
      </c>
      <c r="K82" s="9">
        <v>1427</v>
      </c>
      <c r="L82" s="9">
        <v>954</v>
      </c>
      <c r="M82" s="9">
        <v>899</v>
      </c>
      <c r="N82" s="9">
        <v>956</v>
      </c>
      <c r="O82" s="9">
        <v>864</v>
      </c>
      <c r="P82" s="9">
        <v>814</v>
      </c>
      <c r="Q82" s="9">
        <v>758</v>
      </c>
      <c r="R82" s="10">
        <v>453</v>
      </c>
      <c r="S82" s="10">
        <v>547</v>
      </c>
      <c r="T82" s="10">
        <v>565</v>
      </c>
      <c r="U82" s="10">
        <v>466</v>
      </c>
      <c r="V82" s="10">
        <v>556</v>
      </c>
    </row>
    <row r="83" spans="1:22" ht="12.75">
      <c r="A83" s="4" t="s">
        <v>24</v>
      </c>
      <c r="B83" s="14" t="s">
        <v>242</v>
      </c>
      <c r="C83" s="14" t="s">
        <v>242</v>
      </c>
      <c r="D83">
        <v>2182</v>
      </c>
      <c r="E83" s="9">
        <v>2244</v>
      </c>
      <c r="F83" s="9">
        <v>2291</v>
      </c>
      <c r="G83" s="9">
        <v>2461</v>
      </c>
      <c r="H83" s="9">
        <v>2521</v>
      </c>
      <c r="I83" s="9">
        <v>2504</v>
      </c>
      <c r="J83" s="9">
        <v>2688</v>
      </c>
      <c r="K83" s="9">
        <v>2629</v>
      </c>
      <c r="L83" s="9">
        <v>1532</v>
      </c>
      <c r="M83" s="9">
        <v>1491</v>
      </c>
      <c r="N83" s="9">
        <v>1372</v>
      </c>
      <c r="O83" s="9">
        <v>1287</v>
      </c>
      <c r="P83" s="9">
        <v>1253</v>
      </c>
      <c r="Q83" s="9">
        <v>1207</v>
      </c>
      <c r="R83" s="10">
        <v>1357</v>
      </c>
      <c r="S83" s="10">
        <v>1292</v>
      </c>
      <c r="T83" s="10">
        <v>1245</v>
      </c>
      <c r="U83" s="10">
        <v>1302</v>
      </c>
      <c r="V83" s="10">
        <v>1292</v>
      </c>
    </row>
    <row r="84" spans="1:22" ht="12.75">
      <c r="A84" s="25" t="s">
        <v>317</v>
      </c>
      <c r="B84" s="9">
        <v>3851</v>
      </c>
      <c r="C84" s="9">
        <v>3691</v>
      </c>
      <c r="D84"/>
      <c r="R84" s="10"/>
      <c r="S84" s="10"/>
      <c r="T84" s="10"/>
      <c r="U84" s="10"/>
      <c r="V84" s="10"/>
    </row>
    <row r="85" spans="1:22" ht="12.75">
      <c r="A85" s="2" t="s">
        <v>25</v>
      </c>
      <c r="B85" s="9">
        <v>8280</v>
      </c>
      <c r="C85" s="9">
        <v>8182</v>
      </c>
      <c r="D85">
        <v>8165</v>
      </c>
      <c r="E85" s="9">
        <v>8277</v>
      </c>
      <c r="F85" s="9">
        <v>8534</v>
      </c>
      <c r="G85" s="9">
        <v>8847</v>
      </c>
      <c r="H85" s="9">
        <v>8684</v>
      </c>
      <c r="I85" s="9">
        <v>8777</v>
      </c>
      <c r="J85" s="9">
        <v>9295</v>
      </c>
      <c r="K85" s="9">
        <v>9477</v>
      </c>
      <c r="L85" s="9">
        <v>10159</v>
      </c>
      <c r="M85" s="9">
        <v>10210</v>
      </c>
      <c r="N85" s="9">
        <v>10178</v>
      </c>
      <c r="O85" s="9">
        <v>9626</v>
      </c>
      <c r="P85" s="9">
        <v>9489</v>
      </c>
      <c r="Q85" s="9">
        <v>9682</v>
      </c>
      <c r="R85" s="10">
        <v>11088</v>
      </c>
      <c r="S85" s="10">
        <v>10554</v>
      </c>
      <c r="T85" s="10">
        <v>10214</v>
      </c>
      <c r="U85" s="10">
        <v>10318</v>
      </c>
      <c r="V85" s="10">
        <v>10319</v>
      </c>
    </row>
    <row r="86" spans="1:22" ht="12.75">
      <c r="A86" s="2" t="s">
        <v>26</v>
      </c>
      <c r="B86" s="9">
        <v>15621</v>
      </c>
      <c r="C86" s="9">
        <v>15728</v>
      </c>
      <c r="D86">
        <v>15954</v>
      </c>
      <c r="E86" s="9">
        <v>16169</v>
      </c>
      <c r="F86" s="9">
        <v>16192</v>
      </c>
      <c r="G86" s="9">
        <v>16564</v>
      </c>
      <c r="H86" s="9">
        <v>16658</v>
      </c>
      <c r="I86" s="9">
        <v>16726</v>
      </c>
      <c r="J86" s="9">
        <v>17307</v>
      </c>
      <c r="K86" s="9">
        <v>17828</v>
      </c>
      <c r="L86" s="9">
        <v>19416</v>
      </c>
      <c r="M86" s="9">
        <v>20724</v>
      </c>
      <c r="N86" s="9">
        <v>20489</v>
      </c>
      <c r="O86" s="9">
        <v>19871</v>
      </c>
      <c r="P86" s="9">
        <v>19983</v>
      </c>
      <c r="Q86" s="9">
        <v>19718</v>
      </c>
      <c r="R86" s="10">
        <v>22183</v>
      </c>
      <c r="S86" s="10">
        <v>22501</v>
      </c>
      <c r="T86" s="10">
        <v>21992</v>
      </c>
      <c r="U86" s="10">
        <v>22069</v>
      </c>
      <c r="V86" s="10">
        <v>21599</v>
      </c>
    </row>
    <row r="87" spans="1:22" ht="12.75">
      <c r="A87" s="2" t="s">
        <v>27</v>
      </c>
      <c r="B87" s="9">
        <v>18588</v>
      </c>
      <c r="C87" s="9">
        <v>18840</v>
      </c>
      <c r="D87">
        <v>19126</v>
      </c>
      <c r="E87" s="9">
        <v>19262</v>
      </c>
      <c r="F87" s="9">
        <v>19363</v>
      </c>
      <c r="G87" s="9">
        <v>19668</v>
      </c>
      <c r="H87" s="9">
        <v>20134</v>
      </c>
      <c r="I87" s="9">
        <v>20481</v>
      </c>
      <c r="J87" s="9">
        <v>21251</v>
      </c>
      <c r="K87" s="9">
        <v>21937</v>
      </c>
      <c r="L87" s="9">
        <v>21581</v>
      </c>
      <c r="M87" s="9">
        <v>22805</v>
      </c>
      <c r="N87" s="9">
        <v>23067</v>
      </c>
      <c r="O87" s="9">
        <v>23103</v>
      </c>
      <c r="P87" s="9">
        <v>22933</v>
      </c>
      <c r="Q87" s="9">
        <v>23668</v>
      </c>
      <c r="R87" s="10">
        <v>23925</v>
      </c>
      <c r="S87" s="10">
        <v>25837</v>
      </c>
      <c r="T87" s="10">
        <v>27151</v>
      </c>
      <c r="U87" s="10">
        <v>27168</v>
      </c>
      <c r="V87" s="10">
        <v>27687</v>
      </c>
    </row>
    <row r="88" spans="1:22" ht="12.75">
      <c r="A88" s="2" t="s">
        <v>28</v>
      </c>
      <c r="B88" s="9">
        <v>14955</v>
      </c>
      <c r="C88" s="9">
        <v>15085</v>
      </c>
      <c r="D88">
        <v>15645</v>
      </c>
      <c r="E88" s="9">
        <v>16091</v>
      </c>
      <c r="F88" s="9">
        <v>16325</v>
      </c>
      <c r="G88" s="9">
        <v>16628</v>
      </c>
      <c r="H88" s="9">
        <v>17195</v>
      </c>
      <c r="I88" s="9">
        <v>17412</v>
      </c>
      <c r="J88" s="9">
        <v>18143</v>
      </c>
      <c r="K88" s="9">
        <v>18324</v>
      </c>
      <c r="L88" s="9">
        <v>18548</v>
      </c>
      <c r="M88" s="9">
        <v>19447</v>
      </c>
      <c r="N88" s="9">
        <v>20510</v>
      </c>
      <c r="O88" s="9">
        <v>20490</v>
      </c>
      <c r="P88" s="9">
        <v>21008</v>
      </c>
      <c r="Q88" s="9">
        <v>21824</v>
      </c>
      <c r="R88" s="10">
        <v>21032</v>
      </c>
      <c r="S88" s="10">
        <v>22954</v>
      </c>
      <c r="T88" s="10">
        <v>24338</v>
      </c>
      <c r="U88" s="10">
        <v>24239</v>
      </c>
      <c r="V88" s="10">
        <v>24810</v>
      </c>
    </row>
    <row r="89" spans="1:22" ht="12.75">
      <c r="A89" s="2" t="s">
        <v>29</v>
      </c>
      <c r="D89"/>
      <c r="L89" s="9">
        <v>12232</v>
      </c>
      <c r="M89" s="9">
        <v>12332</v>
      </c>
      <c r="N89" s="9">
        <v>13235</v>
      </c>
      <c r="O89" s="9">
        <v>12882</v>
      </c>
      <c r="P89" s="9">
        <v>13592</v>
      </c>
      <c r="Q89" s="9">
        <v>14096</v>
      </c>
      <c r="R89" s="10">
        <v>13629</v>
      </c>
      <c r="S89" s="10">
        <v>13994</v>
      </c>
      <c r="T89" s="10">
        <v>14589</v>
      </c>
      <c r="U89" s="10">
        <v>14510</v>
      </c>
      <c r="V89" s="10">
        <v>15058</v>
      </c>
    </row>
    <row r="90" spans="1:22" ht="12.75">
      <c r="A90" s="2" t="s">
        <v>30</v>
      </c>
      <c r="D90"/>
      <c r="L90" s="9">
        <v>6966</v>
      </c>
      <c r="M90" s="9">
        <v>6889</v>
      </c>
      <c r="N90" s="9">
        <v>7446</v>
      </c>
      <c r="O90" s="9">
        <v>7749</v>
      </c>
      <c r="P90" s="9">
        <v>7982</v>
      </c>
      <c r="Q90" s="9">
        <v>8321</v>
      </c>
      <c r="R90" s="10">
        <v>8363</v>
      </c>
      <c r="S90" s="10">
        <v>8214</v>
      </c>
      <c r="T90" s="10">
        <v>8393</v>
      </c>
      <c r="U90" s="10">
        <v>8250</v>
      </c>
      <c r="V90" s="10">
        <v>8760</v>
      </c>
    </row>
    <row r="91" spans="1:22" ht="12.75">
      <c r="A91" s="2" t="s">
        <v>31</v>
      </c>
      <c r="D91"/>
      <c r="L91" s="9">
        <v>3169</v>
      </c>
      <c r="M91" s="9">
        <v>3009</v>
      </c>
      <c r="N91" s="9">
        <v>3275</v>
      </c>
      <c r="O91" s="9">
        <v>3467</v>
      </c>
      <c r="P91" s="9">
        <v>3842</v>
      </c>
      <c r="Q91" s="9">
        <v>4096</v>
      </c>
      <c r="R91" s="10">
        <v>4162</v>
      </c>
      <c r="S91" s="10">
        <v>3679</v>
      </c>
      <c r="T91" s="10">
        <v>3869</v>
      </c>
      <c r="U91" s="10">
        <v>3890</v>
      </c>
      <c r="V91" s="10">
        <v>4203</v>
      </c>
    </row>
    <row r="92" spans="1:22" ht="12.75">
      <c r="A92" s="2" t="s">
        <v>32</v>
      </c>
      <c r="D92"/>
      <c r="L92" s="9">
        <v>2191</v>
      </c>
      <c r="M92" s="9">
        <v>2009</v>
      </c>
      <c r="N92" s="9">
        <v>2253</v>
      </c>
      <c r="O92" s="9">
        <v>2526</v>
      </c>
      <c r="P92" s="9">
        <v>2625</v>
      </c>
      <c r="Q92" s="9">
        <v>3032</v>
      </c>
      <c r="R92" s="10">
        <v>2999</v>
      </c>
      <c r="S92" s="10">
        <v>2721</v>
      </c>
      <c r="T92" s="10">
        <v>3683</v>
      </c>
      <c r="U92" s="10">
        <v>4999</v>
      </c>
      <c r="V92" s="10">
        <v>6248</v>
      </c>
    </row>
    <row r="93" spans="1:22" ht="12.75">
      <c r="A93" s="3" t="s">
        <v>141</v>
      </c>
      <c r="B93" s="10">
        <v>13998</v>
      </c>
      <c r="C93" s="10">
        <v>14360</v>
      </c>
      <c r="D93">
        <v>15190</v>
      </c>
      <c r="E93" s="10">
        <v>15929</v>
      </c>
      <c r="F93" s="10">
        <v>16615</v>
      </c>
      <c r="G93" s="10">
        <v>17184</v>
      </c>
      <c r="H93" s="10">
        <v>17984</v>
      </c>
      <c r="I93" s="10">
        <v>18625</v>
      </c>
      <c r="J93" s="10">
        <v>19405</v>
      </c>
      <c r="K93" s="10">
        <v>20053</v>
      </c>
      <c r="L93" s="10">
        <f aca="true" t="shared" si="14" ref="L93:V93">SUM(L89:L92)</f>
        <v>24558</v>
      </c>
      <c r="M93" s="10">
        <f t="shared" si="14"/>
        <v>24239</v>
      </c>
      <c r="N93" s="10">
        <f t="shared" si="14"/>
        <v>26209</v>
      </c>
      <c r="O93" s="10">
        <f t="shared" si="14"/>
        <v>26624</v>
      </c>
      <c r="P93" s="10">
        <f t="shared" si="14"/>
        <v>28041</v>
      </c>
      <c r="Q93" s="10">
        <f t="shared" si="14"/>
        <v>29545</v>
      </c>
      <c r="R93" s="10">
        <f t="shared" si="14"/>
        <v>29153</v>
      </c>
      <c r="S93" s="10">
        <f t="shared" si="14"/>
        <v>28608</v>
      </c>
      <c r="T93" s="10">
        <f t="shared" si="14"/>
        <v>30534</v>
      </c>
      <c r="U93" s="10">
        <f t="shared" si="14"/>
        <v>31649</v>
      </c>
      <c r="V93" s="10">
        <f t="shared" si="14"/>
        <v>34269</v>
      </c>
    </row>
    <row r="94" spans="1:22" ht="12.75">
      <c r="A94" s="3" t="s">
        <v>86</v>
      </c>
      <c r="B94" s="30">
        <v>5</v>
      </c>
      <c r="C94" s="30">
        <v>5</v>
      </c>
      <c r="D94" s="30">
        <v>5.1</v>
      </c>
      <c r="E94" s="30">
        <v>5.1</v>
      </c>
      <c r="F94" s="30">
        <v>5.1</v>
      </c>
      <c r="G94" s="30">
        <v>5.1</v>
      </c>
      <c r="H94" s="30">
        <v>5.1</v>
      </c>
      <c r="I94" s="30">
        <v>5.1</v>
      </c>
      <c r="J94" s="30">
        <v>5.1</v>
      </c>
      <c r="K94" s="30">
        <v>5.1</v>
      </c>
      <c r="L94" s="30">
        <v>5.3</v>
      </c>
      <c r="M94" s="30">
        <v>5.2</v>
      </c>
      <c r="N94" s="30">
        <v>5.3</v>
      </c>
      <c r="O94" s="30">
        <v>5.3</v>
      </c>
      <c r="P94" s="30">
        <v>5.4</v>
      </c>
      <c r="Q94" s="30">
        <v>5.4</v>
      </c>
      <c r="R94" s="10"/>
      <c r="S94" s="10"/>
      <c r="T94" s="10"/>
      <c r="U94" s="10"/>
      <c r="V94" s="10"/>
    </row>
    <row r="95" spans="1:22" ht="12.75">
      <c r="A95" s="75" t="s">
        <v>148</v>
      </c>
      <c r="B95" s="10">
        <f aca="true" t="shared" si="15" ref="B95:K95">B24-SUM(B82:B93)</f>
        <v>0</v>
      </c>
      <c r="C95" s="10">
        <f t="shared" si="15"/>
        <v>0</v>
      </c>
      <c r="D95" s="10">
        <f t="shared" si="15"/>
        <v>0</v>
      </c>
      <c r="E95" s="10">
        <f t="shared" si="15"/>
        <v>1</v>
      </c>
      <c r="F95" s="10">
        <f t="shared" si="15"/>
        <v>1</v>
      </c>
      <c r="G95" s="10">
        <f t="shared" si="15"/>
        <v>-2</v>
      </c>
      <c r="H95" s="10">
        <f t="shared" si="15"/>
        <v>1</v>
      </c>
      <c r="I95" s="10">
        <f t="shared" si="15"/>
        <v>1</v>
      </c>
      <c r="J95" s="10">
        <f t="shared" si="15"/>
        <v>1</v>
      </c>
      <c r="K95" s="10">
        <f t="shared" si="15"/>
        <v>0</v>
      </c>
      <c r="L95" s="10">
        <f aca="true" t="shared" si="16" ref="L95:V95">L24-SUM(L82:L92)</f>
        <v>1</v>
      </c>
      <c r="M95" s="10">
        <f t="shared" si="16"/>
        <v>0</v>
      </c>
      <c r="N95" s="10">
        <f t="shared" si="16"/>
        <v>-1</v>
      </c>
      <c r="O95" s="10">
        <f t="shared" si="16"/>
        <v>-1</v>
      </c>
      <c r="P95" s="10">
        <f t="shared" si="16"/>
        <v>1</v>
      </c>
      <c r="Q95" s="10">
        <f t="shared" si="16"/>
        <v>1</v>
      </c>
      <c r="R95" s="10">
        <f t="shared" si="16"/>
        <v>0</v>
      </c>
      <c r="S95" s="10">
        <f t="shared" si="16"/>
        <v>-1</v>
      </c>
      <c r="T95" s="10">
        <f t="shared" si="16"/>
        <v>-1</v>
      </c>
      <c r="U95" s="10">
        <f t="shared" si="16"/>
        <v>0</v>
      </c>
      <c r="V95" s="10">
        <f t="shared" si="16"/>
        <v>0</v>
      </c>
    </row>
    <row r="96" spans="1:22" ht="12.75">
      <c r="A96" s="4"/>
      <c r="R96" s="10"/>
      <c r="S96" s="10"/>
      <c r="T96" s="10"/>
      <c r="U96" s="10"/>
      <c r="V96" s="10"/>
    </row>
    <row r="97" spans="1:22" ht="12.75">
      <c r="A97" s="5" t="s">
        <v>347</v>
      </c>
      <c r="R97" s="10"/>
      <c r="S97" s="10"/>
      <c r="T97" s="10"/>
      <c r="U97" s="10"/>
      <c r="V97" s="10"/>
    </row>
    <row r="98" spans="1:22" ht="12.75">
      <c r="A98" s="2" t="s">
        <v>33</v>
      </c>
      <c r="B98" s="9">
        <v>1860</v>
      </c>
      <c r="C98" s="9">
        <v>1796</v>
      </c>
      <c r="D98" s="9">
        <v>1671</v>
      </c>
      <c r="E98" s="9">
        <v>1722</v>
      </c>
      <c r="F98" s="9">
        <v>1854</v>
      </c>
      <c r="G98" s="9">
        <v>1887</v>
      </c>
      <c r="H98" s="9">
        <v>1798</v>
      </c>
      <c r="I98" s="9">
        <v>1845</v>
      </c>
      <c r="J98" s="9">
        <v>1866</v>
      </c>
      <c r="K98" s="9">
        <v>1790</v>
      </c>
      <c r="L98" s="9">
        <v>1776</v>
      </c>
      <c r="M98" s="9">
        <v>1646</v>
      </c>
      <c r="N98" s="9">
        <v>1734</v>
      </c>
      <c r="O98" s="9">
        <v>1586</v>
      </c>
      <c r="P98" s="9">
        <v>1470</v>
      </c>
      <c r="Q98" s="9">
        <v>1373</v>
      </c>
      <c r="R98" s="10">
        <v>589</v>
      </c>
      <c r="S98" s="10">
        <v>1142</v>
      </c>
      <c r="T98" s="10">
        <v>1107</v>
      </c>
      <c r="U98" s="10">
        <v>1097</v>
      </c>
      <c r="V98" s="10">
        <v>1138</v>
      </c>
    </row>
    <row r="99" spans="1:22" ht="12.75">
      <c r="A99" s="11">
        <v>1</v>
      </c>
      <c r="B99" s="9">
        <v>11190</v>
      </c>
      <c r="C99" s="9">
        <v>11109</v>
      </c>
      <c r="D99" s="9">
        <v>11273</v>
      </c>
      <c r="E99" s="9">
        <v>11577</v>
      </c>
      <c r="F99" s="9">
        <v>11611</v>
      </c>
      <c r="G99" s="9">
        <v>12219</v>
      </c>
      <c r="H99" s="9">
        <v>12252</v>
      </c>
      <c r="I99" s="9">
        <v>12291</v>
      </c>
      <c r="J99" s="9">
        <v>12907</v>
      </c>
      <c r="K99" s="9">
        <v>13129</v>
      </c>
      <c r="L99" s="9">
        <v>13542</v>
      </c>
      <c r="M99" s="9">
        <v>13905</v>
      </c>
      <c r="N99" s="9">
        <v>13865</v>
      </c>
      <c r="O99" s="9">
        <v>13599</v>
      </c>
      <c r="P99" s="9">
        <v>13338</v>
      </c>
      <c r="Q99" s="9">
        <v>13695</v>
      </c>
      <c r="R99" s="10">
        <v>14466</v>
      </c>
      <c r="S99" s="10">
        <v>13941</v>
      </c>
      <c r="T99" s="10">
        <v>13850</v>
      </c>
      <c r="U99" s="10">
        <v>13727</v>
      </c>
      <c r="V99" s="10">
        <v>13989</v>
      </c>
    </row>
    <row r="100" spans="1:22" ht="12.75">
      <c r="A100" s="11">
        <v>2</v>
      </c>
      <c r="B100" s="9">
        <v>25506</v>
      </c>
      <c r="C100" s="9">
        <v>25572</v>
      </c>
      <c r="D100" s="9">
        <v>26259</v>
      </c>
      <c r="E100" s="9">
        <v>26635</v>
      </c>
      <c r="F100" s="9">
        <v>26689</v>
      </c>
      <c r="G100" s="9">
        <v>27206</v>
      </c>
      <c r="H100" s="9">
        <v>27426</v>
      </c>
      <c r="I100" s="9">
        <v>27685</v>
      </c>
      <c r="J100" s="9">
        <v>28802</v>
      </c>
      <c r="K100" s="9">
        <v>30235</v>
      </c>
      <c r="L100" s="9">
        <v>31500</v>
      </c>
      <c r="M100" s="9">
        <v>32465</v>
      </c>
      <c r="N100" s="9">
        <v>33041</v>
      </c>
      <c r="O100" s="9">
        <v>32589</v>
      </c>
      <c r="P100" s="9">
        <v>32678</v>
      </c>
      <c r="Q100" s="9">
        <v>32814</v>
      </c>
      <c r="R100" s="10">
        <v>33034</v>
      </c>
      <c r="S100" s="10">
        <v>33057</v>
      </c>
      <c r="T100" s="10">
        <v>33268</v>
      </c>
      <c r="U100" s="10">
        <v>33202</v>
      </c>
      <c r="V100" s="10">
        <v>32752</v>
      </c>
    </row>
    <row r="101" spans="1:22" ht="12.75">
      <c r="A101" s="11">
        <v>3</v>
      </c>
      <c r="B101" s="9">
        <v>27374</v>
      </c>
      <c r="C101" s="9">
        <v>27871</v>
      </c>
      <c r="D101" s="9">
        <v>28551</v>
      </c>
      <c r="E101" s="9">
        <v>29269</v>
      </c>
      <c r="F101" s="9">
        <v>30061</v>
      </c>
      <c r="G101" s="9">
        <v>30772</v>
      </c>
      <c r="H101" s="9">
        <v>31958</v>
      </c>
      <c r="I101" s="9">
        <v>32706</v>
      </c>
      <c r="J101" s="9">
        <v>34114</v>
      </c>
      <c r="K101" s="9">
        <v>34689</v>
      </c>
      <c r="L101" s="9">
        <v>36592</v>
      </c>
      <c r="M101" s="9">
        <v>38150</v>
      </c>
      <c r="N101" s="9">
        <v>39802</v>
      </c>
      <c r="O101" s="9">
        <v>39404</v>
      </c>
      <c r="P101" s="9">
        <v>40560</v>
      </c>
      <c r="Q101" s="9">
        <v>42421</v>
      </c>
      <c r="R101" s="10">
        <v>43135</v>
      </c>
      <c r="S101" s="10">
        <v>45684</v>
      </c>
      <c r="T101" s="10">
        <v>47629</v>
      </c>
      <c r="U101" s="10">
        <v>47890</v>
      </c>
      <c r="V101" s="10">
        <v>49739</v>
      </c>
    </row>
    <row r="102" spans="1:22" ht="12.75">
      <c r="A102" s="2" t="s">
        <v>34</v>
      </c>
      <c r="B102" s="9">
        <v>9364</v>
      </c>
      <c r="C102" s="9">
        <v>9538</v>
      </c>
      <c r="D102" s="9">
        <v>9799</v>
      </c>
      <c r="E102" s="9">
        <v>10113</v>
      </c>
      <c r="F102" s="9">
        <v>10502</v>
      </c>
      <c r="G102" s="9">
        <v>10749</v>
      </c>
      <c r="H102" s="9">
        <v>11151</v>
      </c>
      <c r="I102" s="9">
        <v>11498</v>
      </c>
      <c r="J102" s="9">
        <v>11922</v>
      </c>
      <c r="K102" s="9">
        <v>11831</v>
      </c>
      <c r="L102" s="9">
        <v>13339</v>
      </c>
      <c r="M102" s="9">
        <v>13640</v>
      </c>
      <c r="N102" s="9">
        <v>14338</v>
      </c>
      <c r="O102" s="9">
        <v>14687</v>
      </c>
      <c r="P102" s="9">
        <v>15476</v>
      </c>
      <c r="Q102" s="9">
        <v>16102</v>
      </c>
      <c r="R102" s="10">
        <v>17967</v>
      </c>
      <c r="S102" s="10">
        <v>18468</v>
      </c>
      <c r="T102" s="10">
        <v>20184</v>
      </c>
      <c r="U102" s="10">
        <v>21295</v>
      </c>
      <c r="V102" s="10">
        <v>22913</v>
      </c>
    </row>
    <row r="103" spans="1:22" ht="12.75">
      <c r="A103" s="3" t="s">
        <v>86</v>
      </c>
      <c r="B103" s="30"/>
      <c r="C103" s="30"/>
      <c r="E103" s="30"/>
      <c r="F103" s="30"/>
      <c r="G103" s="30"/>
      <c r="H103" s="30"/>
      <c r="I103" s="30"/>
      <c r="J103" s="30"/>
      <c r="K103" s="30"/>
      <c r="L103" s="30">
        <v>2.5</v>
      </c>
      <c r="M103" s="30">
        <v>2.5</v>
      </c>
      <c r="N103" s="30">
        <v>2.6</v>
      </c>
      <c r="O103" s="30">
        <v>2.6</v>
      </c>
      <c r="P103" s="30">
        <v>2.6</v>
      </c>
      <c r="Q103" s="30">
        <v>2.6</v>
      </c>
      <c r="R103" s="32">
        <v>2.7</v>
      </c>
      <c r="S103" s="10"/>
      <c r="T103" s="10"/>
      <c r="U103" s="10"/>
      <c r="V103" s="10"/>
    </row>
    <row r="104" spans="1:22" ht="12.75">
      <c r="A104" s="75" t="s">
        <v>148</v>
      </c>
      <c r="B104" s="10">
        <f aca="true" t="shared" si="17" ref="B104:V104">B24-SUM(B98:B102)</f>
        <v>-1</v>
      </c>
      <c r="C104" s="10">
        <f t="shared" si="17"/>
        <v>0</v>
      </c>
      <c r="D104" s="10">
        <f t="shared" si="17"/>
        <v>0</v>
      </c>
      <c r="E104" s="10">
        <f t="shared" si="17"/>
        <v>0</v>
      </c>
      <c r="F104" s="10">
        <f t="shared" si="17"/>
        <v>-1</v>
      </c>
      <c r="G104" s="10">
        <f t="shared" si="17"/>
        <v>0</v>
      </c>
      <c r="H104" s="10">
        <f t="shared" si="17"/>
        <v>1</v>
      </c>
      <c r="I104" s="10">
        <f t="shared" si="17"/>
        <v>-1</v>
      </c>
      <c r="J104" s="10">
        <f t="shared" si="17"/>
        <v>-1</v>
      </c>
      <c r="K104" s="10">
        <f t="shared" si="17"/>
        <v>1</v>
      </c>
      <c r="L104" s="10">
        <f t="shared" si="17"/>
        <v>0</v>
      </c>
      <c r="M104" s="45">
        <f t="shared" si="17"/>
        <v>9</v>
      </c>
      <c r="N104" s="10">
        <f t="shared" si="17"/>
        <v>0</v>
      </c>
      <c r="O104" s="10">
        <f t="shared" si="17"/>
        <v>-1</v>
      </c>
      <c r="P104" s="10">
        <f t="shared" si="17"/>
        <v>0</v>
      </c>
      <c r="Q104" s="10">
        <f t="shared" si="17"/>
        <v>-2</v>
      </c>
      <c r="R104" s="10">
        <f t="shared" si="17"/>
        <v>0</v>
      </c>
      <c r="S104" s="10">
        <f t="shared" si="17"/>
        <v>0</v>
      </c>
      <c r="T104" s="10">
        <f t="shared" si="17"/>
        <v>0</v>
      </c>
      <c r="U104" s="10">
        <f t="shared" si="17"/>
        <v>0</v>
      </c>
      <c r="V104" s="10">
        <f t="shared" si="17"/>
        <v>1</v>
      </c>
    </row>
    <row r="105" spans="18:22" ht="12.75">
      <c r="R105" s="10"/>
      <c r="S105" s="10"/>
      <c r="T105" s="10"/>
      <c r="U105" s="10"/>
      <c r="V105" s="10"/>
    </row>
    <row r="106" spans="1:22" ht="12.75">
      <c r="A106" s="18" t="s">
        <v>348</v>
      </c>
      <c r="R106" s="10"/>
      <c r="S106" s="10"/>
      <c r="T106" s="10"/>
      <c r="U106" s="10"/>
      <c r="V106" s="10"/>
    </row>
    <row r="107" spans="1:22" ht="12.75">
      <c r="A107" s="23" t="s">
        <v>33</v>
      </c>
      <c r="B107" s="9">
        <v>4106</v>
      </c>
      <c r="C107" s="9">
        <f>2758+671</f>
        <v>3429</v>
      </c>
      <c r="D107" s="9">
        <v>2975</v>
      </c>
      <c r="E107" s="9">
        <v>2976</v>
      </c>
      <c r="F107" s="9">
        <f>642+2207</f>
        <v>2849</v>
      </c>
      <c r="G107" s="9">
        <f>2231+601</f>
        <v>2832</v>
      </c>
      <c r="H107" s="9">
        <f>2195+500</f>
        <v>2695</v>
      </c>
      <c r="I107" s="9">
        <f>2237+479</f>
        <v>2716</v>
      </c>
      <c r="J107" s="9">
        <f>2281+489</f>
        <v>2770</v>
      </c>
      <c r="K107" s="9">
        <f>446+2196</f>
        <v>2642</v>
      </c>
      <c r="L107" s="9">
        <v>1298</v>
      </c>
      <c r="M107" s="9">
        <v>1159</v>
      </c>
      <c r="N107" s="9">
        <v>1019</v>
      </c>
      <c r="O107" s="9">
        <v>901</v>
      </c>
      <c r="P107" s="9">
        <v>828</v>
      </c>
      <c r="Q107" s="9">
        <v>733</v>
      </c>
      <c r="R107" s="9">
        <v>1260</v>
      </c>
      <c r="S107" s="9">
        <v>1587</v>
      </c>
      <c r="T107" s="9">
        <v>1631</v>
      </c>
      <c r="U107" s="9">
        <v>1762</v>
      </c>
      <c r="V107" s="9">
        <v>1617</v>
      </c>
    </row>
    <row r="108" spans="1:22" ht="12.75">
      <c r="A108" s="23">
        <v>1</v>
      </c>
      <c r="B108" s="9">
        <v>48625</v>
      </c>
      <c r="C108" s="9">
        <v>47846</v>
      </c>
      <c r="D108" s="9">
        <v>48459</v>
      </c>
      <c r="E108" s="9">
        <v>48746</v>
      </c>
      <c r="F108" s="9">
        <v>48959</v>
      </c>
      <c r="G108" s="9">
        <v>50031</v>
      </c>
      <c r="H108" s="9">
        <v>50486</v>
      </c>
      <c r="I108" s="9">
        <v>50686</v>
      </c>
      <c r="J108" s="9">
        <v>52665</v>
      </c>
      <c r="K108" s="9">
        <v>53617</v>
      </c>
      <c r="L108" s="9">
        <v>52762</v>
      </c>
      <c r="M108" s="9">
        <v>52507</v>
      </c>
      <c r="N108" s="9">
        <v>51880</v>
      </c>
      <c r="O108" s="9">
        <v>50262</v>
      </c>
      <c r="P108" s="9">
        <v>49373</v>
      </c>
      <c r="Q108" s="9">
        <v>48996</v>
      </c>
      <c r="R108" s="9">
        <v>50061</v>
      </c>
      <c r="S108" s="9">
        <v>47801</v>
      </c>
      <c r="T108" s="9">
        <v>46980</v>
      </c>
      <c r="U108" s="9">
        <v>46574</v>
      </c>
      <c r="V108" s="9">
        <v>45630</v>
      </c>
    </row>
    <row r="109" spans="1:22" ht="12.75">
      <c r="A109" s="24">
        <v>1.5</v>
      </c>
      <c r="B109" s="9">
        <v>8550</v>
      </c>
      <c r="C109" s="9">
        <v>9423</v>
      </c>
      <c r="D109" s="9">
        <v>10383</v>
      </c>
      <c r="E109" s="9">
        <v>10955</v>
      </c>
      <c r="F109" s="9">
        <v>10868</v>
      </c>
      <c r="G109" s="9">
        <v>11098</v>
      </c>
      <c r="H109" s="9">
        <v>11490</v>
      </c>
      <c r="I109" s="9">
        <v>11783</v>
      </c>
      <c r="J109" s="9">
        <v>12223</v>
      </c>
      <c r="K109" s="9">
        <v>12365</v>
      </c>
      <c r="L109" s="9">
        <v>15845</v>
      </c>
      <c r="M109" s="9">
        <v>16692</v>
      </c>
      <c r="N109" s="9">
        <v>16296</v>
      </c>
      <c r="O109" s="9">
        <v>15395</v>
      </c>
      <c r="P109" s="9">
        <v>15547</v>
      </c>
      <c r="Q109" s="9">
        <v>15650</v>
      </c>
      <c r="R109" s="9">
        <v>15930</v>
      </c>
      <c r="S109" s="9">
        <v>17003</v>
      </c>
      <c r="T109" s="9">
        <v>17561</v>
      </c>
      <c r="U109" s="9">
        <v>17312</v>
      </c>
      <c r="V109" s="9">
        <v>16859</v>
      </c>
    </row>
    <row r="110" spans="1:22" ht="12.75">
      <c r="A110" s="23" t="s">
        <v>91</v>
      </c>
      <c r="B110" s="9">
        <v>14012</v>
      </c>
      <c r="C110" s="9">
        <v>15189</v>
      </c>
      <c r="D110" s="9">
        <v>15736</v>
      </c>
      <c r="E110" s="9">
        <v>16640</v>
      </c>
      <c r="F110" s="9">
        <v>18039</v>
      </c>
      <c r="G110" s="9">
        <v>18872</v>
      </c>
      <c r="H110" s="9">
        <v>19915</v>
      </c>
      <c r="I110" s="9">
        <v>20839</v>
      </c>
      <c r="J110" s="9">
        <v>21952</v>
      </c>
      <c r="K110" s="9">
        <v>23049</v>
      </c>
      <c r="L110" s="9">
        <v>26842</v>
      </c>
      <c r="M110" s="9">
        <v>29457</v>
      </c>
      <c r="N110" s="9">
        <v>33585</v>
      </c>
      <c r="O110" s="9">
        <v>35307</v>
      </c>
      <c r="P110" s="9">
        <v>37774</v>
      </c>
      <c r="Q110" s="9">
        <v>41023</v>
      </c>
      <c r="R110" s="9">
        <v>41939</v>
      </c>
      <c r="S110" s="9">
        <v>45901</v>
      </c>
      <c r="T110" s="9">
        <v>49866</v>
      </c>
      <c r="U110" s="9">
        <v>51563</v>
      </c>
      <c r="V110" s="9">
        <v>56425</v>
      </c>
    </row>
    <row r="111" spans="1:22" ht="12.75">
      <c r="A111" s="76" t="s">
        <v>148</v>
      </c>
      <c r="B111" s="10">
        <f aca="true" t="shared" si="18" ref="B111:V111">B24-SUM(B107:B110)</f>
        <v>0</v>
      </c>
      <c r="C111" s="10">
        <f t="shared" si="18"/>
        <v>-1</v>
      </c>
      <c r="D111" s="10">
        <f t="shared" si="18"/>
        <v>0</v>
      </c>
      <c r="E111" s="10">
        <f t="shared" si="18"/>
        <v>-1</v>
      </c>
      <c r="F111" s="10">
        <f t="shared" si="18"/>
        <v>1</v>
      </c>
      <c r="G111" s="10">
        <f t="shared" si="18"/>
        <v>0</v>
      </c>
      <c r="H111" s="10">
        <f t="shared" si="18"/>
        <v>0</v>
      </c>
      <c r="I111" s="10">
        <f t="shared" si="18"/>
        <v>0</v>
      </c>
      <c r="J111" s="10">
        <f t="shared" si="18"/>
        <v>0</v>
      </c>
      <c r="K111" s="10">
        <f t="shared" si="18"/>
        <v>2</v>
      </c>
      <c r="L111" s="10">
        <f t="shared" si="18"/>
        <v>2</v>
      </c>
      <c r="M111" s="10">
        <f t="shared" si="18"/>
        <v>0</v>
      </c>
      <c r="N111" s="10">
        <f t="shared" si="18"/>
        <v>0</v>
      </c>
      <c r="O111" s="10">
        <f t="shared" si="18"/>
        <v>-1</v>
      </c>
      <c r="P111" s="10">
        <f t="shared" si="18"/>
        <v>0</v>
      </c>
      <c r="Q111" s="10">
        <f t="shared" si="18"/>
        <v>1</v>
      </c>
      <c r="R111" s="10">
        <f t="shared" si="18"/>
        <v>1</v>
      </c>
      <c r="S111" s="10">
        <f t="shared" si="18"/>
        <v>0</v>
      </c>
      <c r="T111" s="10">
        <f t="shared" si="18"/>
        <v>0</v>
      </c>
      <c r="U111" s="10">
        <f t="shared" si="18"/>
        <v>0</v>
      </c>
      <c r="V111" s="10">
        <f t="shared" si="18"/>
        <v>1</v>
      </c>
    </row>
    <row r="112" spans="18:22" ht="12.75">
      <c r="R112" s="10"/>
      <c r="S112" s="10"/>
      <c r="T112" s="10"/>
      <c r="U112" s="10"/>
      <c r="V112" s="10"/>
    </row>
    <row r="113" ht="12.75">
      <c r="A113" s="13" t="s">
        <v>349</v>
      </c>
    </row>
    <row r="114" spans="1:22" ht="12.75">
      <c r="A114" s="3" t="s">
        <v>85</v>
      </c>
      <c r="R114" s="10"/>
      <c r="S114" s="10"/>
      <c r="T114" s="10"/>
      <c r="U114" s="10"/>
      <c r="V114" s="10"/>
    </row>
    <row r="115" spans="1:22" ht="12.75">
      <c r="A115" s="3" t="s">
        <v>160</v>
      </c>
      <c r="B115" s="14" t="s">
        <v>242</v>
      </c>
      <c r="C115" s="14" t="s">
        <v>242</v>
      </c>
      <c r="D115" s="14" t="s">
        <v>242</v>
      </c>
      <c r="E115" s="14" t="s">
        <v>242</v>
      </c>
      <c r="F115" s="14" t="s">
        <v>242</v>
      </c>
      <c r="G115" s="14" t="s">
        <v>242</v>
      </c>
      <c r="H115" s="14" t="s">
        <v>242</v>
      </c>
      <c r="I115" s="14" t="s">
        <v>242</v>
      </c>
      <c r="J115" s="14" t="s">
        <v>242</v>
      </c>
      <c r="K115" s="14" t="s">
        <v>242</v>
      </c>
      <c r="L115" s="9">
        <v>1157</v>
      </c>
      <c r="M115" s="9">
        <v>1033</v>
      </c>
      <c r="N115" s="9">
        <v>998</v>
      </c>
      <c r="O115" s="9">
        <v>941</v>
      </c>
      <c r="P115" s="9">
        <v>915</v>
      </c>
      <c r="Q115" s="9">
        <v>882</v>
      </c>
      <c r="R115" s="10">
        <v>1032</v>
      </c>
      <c r="S115" s="10">
        <v>1043</v>
      </c>
      <c r="T115" s="10">
        <v>879</v>
      </c>
      <c r="U115" s="10">
        <v>890</v>
      </c>
      <c r="V115" s="10">
        <v>822</v>
      </c>
    </row>
    <row r="116" spans="1:22" ht="12.75">
      <c r="A116" s="3" t="s">
        <v>161</v>
      </c>
      <c r="B116" s="14" t="s">
        <v>242</v>
      </c>
      <c r="C116" s="14" t="s">
        <v>242</v>
      </c>
      <c r="D116" s="14" t="s">
        <v>242</v>
      </c>
      <c r="E116" s="14" t="s">
        <v>242</v>
      </c>
      <c r="F116" s="14" t="s">
        <v>242</v>
      </c>
      <c r="G116" s="14" t="s">
        <v>242</v>
      </c>
      <c r="H116" s="14" t="s">
        <v>242</v>
      </c>
      <c r="I116" s="14" t="s">
        <v>242</v>
      </c>
      <c r="J116" s="14" t="s">
        <v>242</v>
      </c>
      <c r="K116" s="14" t="s">
        <v>242</v>
      </c>
      <c r="L116" s="9">
        <v>3565</v>
      </c>
      <c r="M116" s="9">
        <v>3408</v>
      </c>
      <c r="N116" s="9">
        <v>3210</v>
      </c>
      <c r="O116" s="9">
        <v>3022</v>
      </c>
      <c r="P116" s="9">
        <v>2866</v>
      </c>
      <c r="Q116" s="9">
        <v>2811</v>
      </c>
      <c r="R116" s="10">
        <v>2808</v>
      </c>
      <c r="S116" s="10">
        <v>2668</v>
      </c>
      <c r="T116" s="10">
        <v>2490</v>
      </c>
      <c r="U116" s="10">
        <v>2564</v>
      </c>
      <c r="V116" s="10">
        <v>2198</v>
      </c>
    </row>
    <row r="117" spans="1:22" ht="12.75">
      <c r="A117" s="3" t="s">
        <v>162</v>
      </c>
      <c r="B117" s="14" t="s">
        <v>242</v>
      </c>
      <c r="C117" s="14" t="s">
        <v>242</v>
      </c>
      <c r="D117" s="14" t="s">
        <v>242</v>
      </c>
      <c r="E117" s="14" t="s">
        <v>242</v>
      </c>
      <c r="F117" s="14" t="s">
        <v>242</v>
      </c>
      <c r="G117" s="14" t="s">
        <v>242</v>
      </c>
      <c r="H117" s="14" t="s">
        <v>242</v>
      </c>
      <c r="I117" s="14" t="s">
        <v>242</v>
      </c>
      <c r="J117" s="14" t="s">
        <v>242</v>
      </c>
      <c r="K117" s="14" t="s">
        <v>242</v>
      </c>
      <c r="L117" s="9">
        <v>6859</v>
      </c>
      <c r="M117" s="9">
        <v>6788</v>
      </c>
      <c r="N117" s="9">
        <v>6651</v>
      </c>
      <c r="O117" s="9">
        <v>6451</v>
      </c>
      <c r="P117" s="9">
        <v>6311</v>
      </c>
      <c r="Q117" s="9">
        <v>6283</v>
      </c>
      <c r="R117" s="10">
        <v>6212</v>
      </c>
      <c r="S117" s="10">
        <v>6122</v>
      </c>
      <c r="T117" s="10">
        <v>6390</v>
      </c>
      <c r="U117" s="10">
        <v>6177</v>
      </c>
      <c r="V117" s="10">
        <v>5748</v>
      </c>
    </row>
    <row r="118" spans="1:22" ht="12.75">
      <c r="A118" s="21" t="s">
        <v>163</v>
      </c>
      <c r="B118" s="14" t="s">
        <v>242</v>
      </c>
      <c r="C118" s="14" t="s">
        <v>242</v>
      </c>
      <c r="D118" s="14" t="s">
        <v>242</v>
      </c>
      <c r="E118" s="14" t="s">
        <v>242</v>
      </c>
      <c r="F118" s="14" t="s">
        <v>242</v>
      </c>
      <c r="G118" s="14" t="s">
        <v>242</v>
      </c>
      <c r="H118" s="14" t="s">
        <v>242</v>
      </c>
      <c r="I118" s="14" t="s">
        <v>242</v>
      </c>
      <c r="J118" s="14" t="s">
        <v>242</v>
      </c>
      <c r="K118" s="14" t="s">
        <v>242</v>
      </c>
      <c r="L118" s="9">
        <v>16158</v>
      </c>
      <c r="M118" s="9">
        <v>16011</v>
      </c>
      <c r="N118" s="9">
        <v>16413</v>
      </c>
      <c r="O118" s="9">
        <v>15741</v>
      </c>
      <c r="P118" s="9">
        <v>16019</v>
      </c>
      <c r="Q118" s="9">
        <v>16335</v>
      </c>
      <c r="R118" s="9">
        <v>16562</v>
      </c>
      <c r="S118" s="9">
        <v>18577</v>
      </c>
      <c r="T118" s="9">
        <v>19812</v>
      </c>
      <c r="U118" s="9">
        <v>19816</v>
      </c>
      <c r="V118" s="9">
        <v>19691</v>
      </c>
    </row>
    <row r="119" spans="1:22" ht="12.75">
      <c r="A119" s="20" t="s">
        <v>164</v>
      </c>
      <c r="B119" s="14" t="s">
        <v>242</v>
      </c>
      <c r="C119" s="14" t="s">
        <v>242</v>
      </c>
      <c r="D119" s="14" t="s">
        <v>242</v>
      </c>
      <c r="E119" s="14" t="s">
        <v>242</v>
      </c>
      <c r="F119" s="14" t="s">
        <v>242</v>
      </c>
      <c r="G119" s="14" t="s">
        <v>242</v>
      </c>
      <c r="H119" s="14" t="s">
        <v>242</v>
      </c>
      <c r="I119" s="14" t="s">
        <v>242</v>
      </c>
      <c r="J119" s="14" t="s">
        <v>242</v>
      </c>
      <c r="K119" s="14" t="s">
        <v>242</v>
      </c>
      <c r="L119" s="9">
        <v>13081</v>
      </c>
      <c r="M119" s="9">
        <v>13301</v>
      </c>
      <c r="N119" s="9">
        <v>13794</v>
      </c>
      <c r="O119" s="9">
        <v>13603</v>
      </c>
      <c r="P119" s="9">
        <v>14024</v>
      </c>
      <c r="Q119" s="9">
        <v>14374</v>
      </c>
      <c r="R119" s="9">
        <v>14811</v>
      </c>
      <c r="S119" s="9">
        <v>16929</v>
      </c>
      <c r="T119" s="9">
        <v>18325</v>
      </c>
      <c r="U119" s="9">
        <v>18505</v>
      </c>
      <c r="V119" s="9">
        <v>19171</v>
      </c>
    </row>
    <row r="120" spans="1:22" ht="12.75">
      <c r="A120" s="20" t="s">
        <v>165</v>
      </c>
      <c r="B120" s="14" t="s">
        <v>242</v>
      </c>
      <c r="C120" s="14" t="s">
        <v>242</v>
      </c>
      <c r="D120" s="14" t="s">
        <v>242</v>
      </c>
      <c r="E120" s="14" t="s">
        <v>242</v>
      </c>
      <c r="F120" s="14" t="s">
        <v>242</v>
      </c>
      <c r="G120" s="14" t="s">
        <v>242</v>
      </c>
      <c r="H120" s="14" t="s">
        <v>242</v>
      </c>
      <c r="I120" s="14" t="s">
        <v>242</v>
      </c>
      <c r="J120" s="14" t="s">
        <v>242</v>
      </c>
      <c r="K120" s="14" t="s">
        <v>242</v>
      </c>
      <c r="L120" s="9">
        <v>9163</v>
      </c>
      <c r="M120" s="9">
        <v>9135</v>
      </c>
      <c r="N120" s="9">
        <v>9809</v>
      </c>
      <c r="O120" s="9">
        <v>9500</v>
      </c>
      <c r="P120" s="9">
        <v>10048</v>
      </c>
      <c r="Q120" s="9">
        <v>10275</v>
      </c>
      <c r="R120" s="9">
        <v>10567</v>
      </c>
      <c r="S120" s="9">
        <v>11217</v>
      </c>
      <c r="T120" s="9">
        <v>12165</v>
      </c>
      <c r="U120" s="9">
        <v>12405</v>
      </c>
      <c r="V120" s="9">
        <v>13225</v>
      </c>
    </row>
    <row r="121" spans="1:22" ht="12.75">
      <c r="A121" s="20" t="s">
        <v>166</v>
      </c>
      <c r="B121" s="14" t="s">
        <v>242</v>
      </c>
      <c r="C121" s="14" t="s">
        <v>242</v>
      </c>
      <c r="D121" s="14" t="s">
        <v>242</v>
      </c>
      <c r="E121" s="14" t="s">
        <v>242</v>
      </c>
      <c r="F121" s="14" t="s">
        <v>242</v>
      </c>
      <c r="G121" s="14" t="s">
        <v>242</v>
      </c>
      <c r="H121" s="14" t="s">
        <v>242</v>
      </c>
      <c r="I121" s="14" t="s">
        <v>242</v>
      </c>
      <c r="J121" s="14" t="s">
        <v>242</v>
      </c>
      <c r="K121" s="14" t="s">
        <v>242</v>
      </c>
      <c r="L121" s="9">
        <v>4823</v>
      </c>
      <c r="M121" s="9">
        <v>4869</v>
      </c>
      <c r="N121" s="9">
        <v>5281</v>
      </c>
      <c r="O121" s="9">
        <v>5118</v>
      </c>
      <c r="P121" s="9">
        <v>5551</v>
      </c>
      <c r="Q121" s="9">
        <v>5700</v>
      </c>
      <c r="R121" s="9">
        <v>5898</v>
      </c>
      <c r="S121" s="9">
        <v>5719</v>
      </c>
      <c r="T121" s="9">
        <v>6215</v>
      </c>
      <c r="U121" s="9">
        <v>6348</v>
      </c>
      <c r="V121" s="9">
        <v>6869</v>
      </c>
    </row>
    <row r="122" spans="1:22" ht="12.75">
      <c r="A122" s="20" t="s">
        <v>167</v>
      </c>
      <c r="B122" s="14" t="s">
        <v>242</v>
      </c>
      <c r="C122" s="14" t="s">
        <v>242</v>
      </c>
      <c r="D122" s="14" t="s">
        <v>242</v>
      </c>
      <c r="E122" s="14" t="s">
        <v>242</v>
      </c>
      <c r="F122" s="14" t="s">
        <v>242</v>
      </c>
      <c r="G122" s="14" t="s">
        <v>242</v>
      </c>
      <c r="H122" s="14" t="s">
        <v>242</v>
      </c>
      <c r="I122" s="14" t="s">
        <v>242</v>
      </c>
      <c r="J122" s="14" t="s">
        <v>242</v>
      </c>
      <c r="K122" s="14" t="s">
        <v>242</v>
      </c>
      <c r="L122" s="9">
        <v>4187</v>
      </c>
      <c r="M122" s="9">
        <v>4226</v>
      </c>
      <c r="N122" s="9">
        <v>4693</v>
      </c>
      <c r="O122" s="9">
        <v>4600</v>
      </c>
      <c r="P122" s="9">
        <v>4940</v>
      </c>
      <c r="Q122" s="9">
        <v>5123</v>
      </c>
      <c r="R122" s="9">
        <v>5424</v>
      </c>
      <c r="S122" s="9">
        <v>5103</v>
      </c>
      <c r="T122" s="9">
        <v>5464</v>
      </c>
      <c r="U122" s="9">
        <v>5706</v>
      </c>
      <c r="V122" s="9">
        <v>6335</v>
      </c>
    </row>
    <row r="123" spans="1:22" ht="12.75">
      <c r="A123" s="13" t="s">
        <v>168</v>
      </c>
      <c r="B123" s="14" t="s">
        <v>242</v>
      </c>
      <c r="C123" s="14" t="s">
        <v>242</v>
      </c>
      <c r="D123" s="14" t="s">
        <v>242</v>
      </c>
      <c r="E123" s="14" t="s">
        <v>242</v>
      </c>
      <c r="F123" s="14" t="s">
        <v>242</v>
      </c>
      <c r="G123" s="14" t="s">
        <v>242</v>
      </c>
      <c r="H123" s="14" t="s">
        <v>242</v>
      </c>
      <c r="I123" s="14" t="s">
        <v>242</v>
      </c>
      <c r="J123" s="14" t="s">
        <v>242</v>
      </c>
      <c r="K123" s="14" t="s">
        <v>242</v>
      </c>
      <c r="L123" s="9">
        <v>2264</v>
      </c>
      <c r="M123" s="9">
        <v>2436</v>
      </c>
      <c r="N123" s="9">
        <v>2542</v>
      </c>
      <c r="O123" s="9">
        <v>2684</v>
      </c>
      <c r="P123" s="9">
        <v>2812</v>
      </c>
      <c r="Q123" s="9">
        <v>2907</v>
      </c>
      <c r="R123" s="9">
        <v>3180</v>
      </c>
      <c r="S123" s="9">
        <v>3307</v>
      </c>
      <c r="T123" s="9">
        <v>2992</v>
      </c>
      <c r="U123" s="9">
        <v>3349</v>
      </c>
      <c r="V123" s="9">
        <v>3894</v>
      </c>
    </row>
    <row r="124" spans="1:22" ht="12.75">
      <c r="A124" s="13" t="s">
        <v>136</v>
      </c>
      <c r="B124" s="14" t="s">
        <v>242</v>
      </c>
      <c r="C124" s="14" t="s">
        <v>242</v>
      </c>
      <c r="D124" s="14" t="s">
        <v>242</v>
      </c>
      <c r="E124" s="14" t="s">
        <v>242</v>
      </c>
      <c r="F124" s="14" t="s">
        <v>242</v>
      </c>
      <c r="G124" s="14" t="s">
        <v>242</v>
      </c>
      <c r="H124" s="14" t="s">
        <v>242</v>
      </c>
      <c r="I124" s="14" t="s">
        <v>242</v>
      </c>
      <c r="J124" s="14" t="s">
        <v>242</v>
      </c>
      <c r="K124" s="14" t="s">
        <v>242</v>
      </c>
      <c r="L124" s="9">
        <v>2894</v>
      </c>
      <c r="M124" s="9">
        <v>4874</v>
      </c>
      <c r="N124" s="9">
        <v>4696</v>
      </c>
      <c r="O124" s="9">
        <v>5644</v>
      </c>
      <c r="P124" s="9">
        <v>5398</v>
      </c>
      <c r="Q124" s="9">
        <v>6561</v>
      </c>
      <c r="R124" s="9">
        <v>7355</v>
      </c>
      <c r="S124" s="9">
        <v>5699</v>
      </c>
      <c r="T124" s="9">
        <v>5045</v>
      </c>
      <c r="U124" s="9">
        <v>5265</v>
      </c>
      <c r="V124" s="9">
        <v>5451</v>
      </c>
    </row>
    <row r="125" spans="1:22" ht="12.75">
      <c r="A125" s="13" t="s">
        <v>86</v>
      </c>
      <c r="B125" s="14" t="s">
        <v>242</v>
      </c>
      <c r="C125" s="14" t="s">
        <v>242</v>
      </c>
      <c r="D125" s="14" t="s">
        <v>242</v>
      </c>
      <c r="E125" s="14" t="s">
        <v>242</v>
      </c>
      <c r="F125" s="14" t="s">
        <v>242</v>
      </c>
      <c r="G125" s="14" t="s">
        <v>242</v>
      </c>
      <c r="H125" s="14" t="s">
        <v>242</v>
      </c>
      <c r="I125" s="14" t="s">
        <v>242</v>
      </c>
      <c r="J125" s="14" t="s">
        <v>242</v>
      </c>
      <c r="K125" s="14" t="s">
        <v>242</v>
      </c>
      <c r="L125" s="9">
        <v>1610</v>
      </c>
      <c r="M125" s="9">
        <v>1626</v>
      </c>
      <c r="N125" s="9">
        <v>1660</v>
      </c>
      <c r="O125" s="9">
        <v>1672</v>
      </c>
      <c r="P125" s="9">
        <v>1701</v>
      </c>
      <c r="Q125" s="9">
        <v>1710</v>
      </c>
      <c r="R125" s="9">
        <v>1724</v>
      </c>
      <c r="S125" s="9">
        <v>1705</v>
      </c>
      <c r="T125" s="9">
        <v>1713</v>
      </c>
      <c r="U125" s="9">
        <v>1728</v>
      </c>
      <c r="V125" s="9">
        <v>1774</v>
      </c>
    </row>
    <row r="126" spans="1:22" ht="12.75">
      <c r="A126" s="75" t="s">
        <v>148</v>
      </c>
      <c r="L126" s="9">
        <f>64151-SUM(L115:L124)</f>
        <v>0</v>
      </c>
      <c r="M126" s="44">
        <f aca="true" t="shared" si="19" ref="M126:V126">M49+M57-SUM(M115:M124)</f>
        <v>37</v>
      </c>
      <c r="N126" s="44">
        <f t="shared" si="19"/>
        <v>27</v>
      </c>
      <c r="O126" s="44">
        <f t="shared" si="19"/>
        <v>43</v>
      </c>
      <c r="P126" s="9">
        <f t="shared" si="19"/>
        <v>0</v>
      </c>
      <c r="Q126" s="9">
        <f t="shared" si="19"/>
        <v>0</v>
      </c>
      <c r="R126" s="9">
        <f t="shared" si="19"/>
        <v>1</v>
      </c>
      <c r="S126" s="9">
        <f t="shared" si="19"/>
        <v>0</v>
      </c>
      <c r="T126" s="9">
        <f t="shared" si="19"/>
        <v>-1</v>
      </c>
      <c r="U126" s="9">
        <f t="shared" si="19"/>
        <v>-1</v>
      </c>
      <c r="V126" s="9">
        <f t="shared" si="19"/>
        <v>-2</v>
      </c>
    </row>
    <row r="127" ht="12.75">
      <c r="A127" s="13"/>
    </row>
    <row r="128" spans="1:22" ht="12.75">
      <c r="A128" s="13" t="s">
        <v>350</v>
      </c>
      <c r="R128" s="10"/>
      <c r="S128" s="10"/>
      <c r="T128" s="10"/>
      <c r="U128" s="10"/>
      <c r="V128" s="10"/>
    </row>
    <row r="129" spans="1:22" ht="12.75">
      <c r="A129" s="13" t="s">
        <v>169</v>
      </c>
      <c r="B129" s="14" t="s">
        <v>242</v>
      </c>
      <c r="C129" s="14" t="s">
        <v>242</v>
      </c>
      <c r="D129" s="14" t="s">
        <v>242</v>
      </c>
      <c r="E129" s="14" t="s">
        <v>242</v>
      </c>
      <c r="F129" s="14" t="s">
        <v>242</v>
      </c>
      <c r="G129" s="14" t="s">
        <v>242</v>
      </c>
      <c r="H129" s="14" t="s">
        <v>242</v>
      </c>
      <c r="I129" s="14" t="s">
        <v>242</v>
      </c>
      <c r="J129" s="14" t="s">
        <v>242</v>
      </c>
      <c r="K129" s="14" t="s">
        <v>242</v>
      </c>
      <c r="L129" s="9">
        <v>7325</v>
      </c>
      <c r="M129" s="9">
        <v>7152</v>
      </c>
      <c r="N129" s="9">
        <v>6556</v>
      </c>
      <c r="O129" s="9">
        <v>6669</v>
      </c>
      <c r="P129" s="9">
        <v>6851</v>
      </c>
      <c r="Q129" s="9">
        <v>6497</v>
      </c>
      <c r="R129" s="10">
        <v>11448</v>
      </c>
      <c r="S129" s="10">
        <v>11389</v>
      </c>
      <c r="T129" s="10">
        <v>12148</v>
      </c>
      <c r="U129" s="10">
        <v>11983</v>
      </c>
      <c r="V129" s="10">
        <v>11853</v>
      </c>
    </row>
    <row r="130" spans="1:22" ht="12.75">
      <c r="A130" s="13" t="s">
        <v>170</v>
      </c>
      <c r="B130" s="14" t="s">
        <v>242</v>
      </c>
      <c r="C130" s="14" t="s">
        <v>242</v>
      </c>
      <c r="D130" s="14" t="s">
        <v>242</v>
      </c>
      <c r="E130" s="14" t="s">
        <v>242</v>
      </c>
      <c r="F130" s="14" t="s">
        <v>242</v>
      </c>
      <c r="G130" s="14" t="s">
        <v>242</v>
      </c>
      <c r="H130" s="14" t="s">
        <v>242</v>
      </c>
      <c r="I130" s="14" t="s">
        <v>242</v>
      </c>
      <c r="J130" s="14" t="s">
        <v>242</v>
      </c>
      <c r="K130" s="14" t="s">
        <v>242</v>
      </c>
      <c r="L130" s="9">
        <v>14069</v>
      </c>
      <c r="M130" s="9">
        <v>13065</v>
      </c>
      <c r="N130" s="9">
        <v>12481</v>
      </c>
      <c r="O130" s="9">
        <v>12633</v>
      </c>
      <c r="P130" s="9">
        <v>12374</v>
      </c>
      <c r="Q130" s="9">
        <v>12519</v>
      </c>
      <c r="R130" s="10">
        <v>21459</v>
      </c>
      <c r="S130" s="10">
        <v>25241</v>
      </c>
      <c r="T130" s="10">
        <v>23806</v>
      </c>
      <c r="U130" s="10">
        <v>24261</v>
      </c>
      <c r="V130" s="10">
        <v>24720</v>
      </c>
    </row>
    <row r="131" spans="1:22" ht="12.75">
      <c r="A131" s="13" t="s">
        <v>171</v>
      </c>
      <c r="B131" s="14" t="s">
        <v>242</v>
      </c>
      <c r="C131" s="14" t="s">
        <v>242</v>
      </c>
      <c r="D131" s="14" t="s">
        <v>242</v>
      </c>
      <c r="E131" s="14" t="s">
        <v>242</v>
      </c>
      <c r="F131" s="14" t="s">
        <v>242</v>
      </c>
      <c r="G131" s="14" t="s">
        <v>242</v>
      </c>
      <c r="H131" s="14" t="s">
        <v>242</v>
      </c>
      <c r="I131" s="14" t="s">
        <v>242</v>
      </c>
      <c r="J131" s="14" t="s">
        <v>242</v>
      </c>
      <c r="K131" s="14" t="s">
        <v>242</v>
      </c>
      <c r="L131" s="9">
        <v>9332</v>
      </c>
      <c r="M131" s="9">
        <v>9385</v>
      </c>
      <c r="N131" s="9">
        <v>9386</v>
      </c>
      <c r="O131" s="9">
        <v>9572</v>
      </c>
      <c r="P131" s="9">
        <v>10030</v>
      </c>
      <c r="Q131" s="9">
        <v>10245</v>
      </c>
      <c r="R131" s="10">
        <v>15096</v>
      </c>
      <c r="S131" s="10">
        <v>12830</v>
      </c>
      <c r="T131" s="10">
        <v>16791</v>
      </c>
      <c r="U131" s="10">
        <v>16322</v>
      </c>
      <c r="V131" s="10">
        <v>17376</v>
      </c>
    </row>
    <row r="132" spans="1:22" ht="12.75">
      <c r="A132" s="13" t="s">
        <v>87</v>
      </c>
      <c r="B132" s="14" t="s">
        <v>242</v>
      </c>
      <c r="C132" s="14" t="s">
        <v>242</v>
      </c>
      <c r="D132" s="14" t="s">
        <v>242</v>
      </c>
      <c r="E132" s="14" t="s">
        <v>242</v>
      </c>
      <c r="F132" s="14" t="s">
        <v>242</v>
      </c>
      <c r="G132" s="14" t="s">
        <v>242</v>
      </c>
      <c r="H132" s="14" t="s">
        <v>242</v>
      </c>
      <c r="I132" s="14" t="s">
        <v>242</v>
      </c>
      <c r="J132" s="14" t="s">
        <v>242</v>
      </c>
      <c r="K132" s="14" t="s">
        <v>242</v>
      </c>
      <c r="L132" s="9">
        <v>6036</v>
      </c>
      <c r="M132" s="9">
        <v>6297</v>
      </c>
      <c r="N132" s="9">
        <v>6395</v>
      </c>
      <c r="O132" s="9">
        <v>7064</v>
      </c>
      <c r="P132" s="9">
        <v>7117</v>
      </c>
      <c r="Q132" s="9">
        <v>7505</v>
      </c>
      <c r="R132" s="10">
        <v>9572</v>
      </c>
      <c r="S132" s="10">
        <v>11217</v>
      </c>
      <c r="T132" s="10">
        <v>11143</v>
      </c>
      <c r="U132" s="10">
        <v>11108</v>
      </c>
      <c r="V132" s="10">
        <v>11450</v>
      </c>
    </row>
    <row r="133" spans="1:22" ht="12.75">
      <c r="A133" s="13" t="s">
        <v>88</v>
      </c>
      <c r="B133" s="14" t="s">
        <v>242</v>
      </c>
      <c r="C133" s="14" t="s">
        <v>242</v>
      </c>
      <c r="D133" s="14" t="s">
        <v>242</v>
      </c>
      <c r="E133" s="14" t="s">
        <v>242</v>
      </c>
      <c r="F133" s="14" t="s">
        <v>242</v>
      </c>
      <c r="G133" s="14" t="s">
        <v>242</v>
      </c>
      <c r="H133" s="14" t="s">
        <v>242</v>
      </c>
      <c r="I133" s="14" t="s">
        <v>242</v>
      </c>
      <c r="J133" s="14" t="s">
        <v>242</v>
      </c>
      <c r="K133" s="14" t="s">
        <v>242</v>
      </c>
      <c r="L133" s="9">
        <v>8908</v>
      </c>
      <c r="M133" s="9">
        <v>9555</v>
      </c>
      <c r="N133" s="9">
        <v>9724</v>
      </c>
      <c r="O133" s="9">
        <v>10098</v>
      </c>
      <c r="P133" s="9">
        <v>10685</v>
      </c>
      <c r="Q133" s="9">
        <v>10608</v>
      </c>
      <c r="R133" s="9">
        <v>13839</v>
      </c>
      <c r="S133" s="9">
        <v>14661</v>
      </c>
      <c r="T133" s="9">
        <v>15177</v>
      </c>
      <c r="U133" s="9">
        <v>15548</v>
      </c>
      <c r="V133" s="9">
        <v>15838</v>
      </c>
    </row>
    <row r="134" spans="1:22" ht="12.75">
      <c r="A134" s="13" t="s">
        <v>89</v>
      </c>
      <c r="B134" s="14" t="s">
        <v>242</v>
      </c>
      <c r="C134" s="14" t="s">
        <v>242</v>
      </c>
      <c r="D134" s="14" t="s">
        <v>242</v>
      </c>
      <c r="E134" s="14" t="s">
        <v>242</v>
      </c>
      <c r="F134" s="14" t="s">
        <v>242</v>
      </c>
      <c r="G134" s="14" t="s">
        <v>242</v>
      </c>
      <c r="H134" s="14" t="s">
        <v>242</v>
      </c>
      <c r="I134" s="14" t="s">
        <v>242</v>
      </c>
      <c r="J134" s="14" t="s">
        <v>242</v>
      </c>
      <c r="K134" s="14" t="s">
        <v>242</v>
      </c>
      <c r="L134" s="9">
        <v>1454</v>
      </c>
      <c r="M134" s="9">
        <v>1603</v>
      </c>
      <c r="N134" s="9">
        <v>1547</v>
      </c>
      <c r="O134" s="9">
        <v>1714</v>
      </c>
      <c r="P134" s="9">
        <v>1667</v>
      </c>
      <c r="Q134" s="9">
        <v>1748</v>
      </c>
      <c r="R134" s="9">
        <v>2086</v>
      </c>
      <c r="S134" s="9">
        <v>2601</v>
      </c>
      <c r="T134" s="9">
        <v>2451</v>
      </c>
      <c r="U134" s="9">
        <v>2481</v>
      </c>
      <c r="V134" s="9">
        <v>2534</v>
      </c>
    </row>
    <row r="135" spans="1:22" ht="12.75">
      <c r="A135" s="13" t="s">
        <v>90</v>
      </c>
      <c r="B135" s="14" t="s">
        <v>242</v>
      </c>
      <c r="C135" s="14" t="s">
        <v>242</v>
      </c>
      <c r="D135" s="14" t="s">
        <v>242</v>
      </c>
      <c r="E135" s="14" t="s">
        <v>242</v>
      </c>
      <c r="F135" s="14" t="s">
        <v>242</v>
      </c>
      <c r="G135" s="14" t="s">
        <v>242</v>
      </c>
      <c r="H135" s="14" t="s">
        <v>242</v>
      </c>
      <c r="I135" s="14" t="s">
        <v>242</v>
      </c>
      <c r="J135" s="14" t="s">
        <v>242</v>
      </c>
      <c r="K135" s="14" t="s">
        <v>242</v>
      </c>
      <c r="L135" s="9">
        <v>3920</v>
      </c>
      <c r="M135" s="9">
        <v>3902</v>
      </c>
      <c r="N135" s="9">
        <v>3936</v>
      </c>
      <c r="O135" s="9">
        <v>3830</v>
      </c>
      <c r="P135" s="9">
        <v>3682</v>
      </c>
      <c r="Q135" s="9">
        <v>3716</v>
      </c>
      <c r="R135" s="9">
        <v>4034</v>
      </c>
      <c r="S135" s="9">
        <v>4117</v>
      </c>
      <c r="T135" s="9">
        <v>4152</v>
      </c>
      <c r="U135" s="9">
        <v>4207</v>
      </c>
      <c r="V135" s="9">
        <v>4247</v>
      </c>
    </row>
    <row r="136" spans="1:17" ht="12.75">
      <c r="A136" s="13" t="s">
        <v>136</v>
      </c>
      <c r="B136" s="14" t="s">
        <v>242</v>
      </c>
      <c r="C136" s="14" t="s">
        <v>242</v>
      </c>
      <c r="D136" s="14" t="s">
        <v>242</v>
      </c>
      <c r="E136" s="14" t="s">
        <v>242</v>
      </c>
      <c r="F136" s="14" t="s">
        <v>242</v>
      </c>
      <c r="G136" s="14" t="s">
        <v>242</v>
      </c>
      <c r="H136" s="14" t="s">
        <v>242</v>
      </c>
      <c r="I136" s="14" t="s">
        <v>242</v>
      </c>
      <c r="J136" s="14" t="s">
        <v>242</v>
      </c>
      <c r="K136" s="14" t="s">
        <v>242</v>
      </c>
      <c r="L136" s="9">
        <f>13290+2028</f>
        <v>15318</v>
      </c>
      <c r="M136" s="9">
        <f>15601+2659</f>
        <v>18260</v>
      </c>
      <c r="N136" s="9">
        <f>18434+2611</f>
        <v>21045</v>
      </c>
      <c r="O136" s="9">
        <f>18031+1394</f>
        <v>19425</v>
      </c>
      <c r="P136" s="9">
        <f>14025+5853</f>
        <v>19878</v>
      </c>
      <c r="Q136" s="9">
        <f>14985+7184</f>
        <v>22169</v>
      </c>
    </row>
    <row r="137" spans="1:22" ht="12.75">
      <c r="A137" s="13" t="s">
        <v>86</v>
      </c>
      <c r="B137" s="14" t="s">
        <v>242</v>
      </c>
      <c r="C137" s="14" t="s">
        <v>242</v>
      </c>
      <c r="D137" s="14" t="s">
        <v>242</v>
      </c>
      <c r="E137" s="14" t="s">
        <v>242</v>
      </c>
      <c r="F137" s="14" t="s">
        <v>242</v>
      </c>
      <c r="G137" s="14" t="s">
        <v>242</v>
      </c>
      <c r="H137" s="14" t="s">
        <v>242</v>
      </c>
      <c r="I137" s="14" t="s">
        <v>242</v>
      </c>
      <c r="J137" s="14" t="s">
        <v>242</v>
      </c>
      <c r="K137" s="14" t="s">
        <v>242</v>
      </c>
      <c r="L137" s="22">
        <v>0.36</v>
      </c>
      <c r="M137" s="22">
        <v>0.39</v>
      </c>
      <c r="N137" s="22">
        <v>0.41</v>
      </c>
      <c r="O137" s="22">
        <v>0.42</v>
      </c>
      <c r="P137" s="22">
        <v>0.42</v>
      </c>
      <c r="Q137" s="22">
        <v>0.43</v>
      </c>
      <c r="R137" s="22">
        <v>0.35</v>
      </c>
      <c r="S137" s="22">
        <v>0.34</v>
      </c>
      <c r="T137" s="22">
        <v>0.35</v>
      </c>
      <c r="U137" s="22">
        <v>0.35</v>
      </c>
      <c r="V137" s="22">
        <v>0.36</v>
      </c>
    </row>
    <row r="138" spans="13:17" ht="12.75">
      <c r="M138" s="36"/>
      <c r="N138" s="36"/>
      <c r="O138" s="36"/>
      <c r="P138" s="36"/>
      <c r="Q138" s="36"/>
    </row>
    <row r="139" ht="12.75">
      <c r="A139" s="25" t="s">
        <v>92</v>
      </c>
    </row>
    <row r="141" spans="1:22" ht="12.75">
      <c r="A141" s="4" t="s">
        <v>75</v>
      </c>
      <c r="R141" s="10"/>
      <c r="S141" s="10"/>
      <c r="T141" s="10"/>
      <c r="U141" s="10"/>
      <c r="V141" s="10"/>
    </row>
    <row r="142" spans="1:22" ht="12.75">
      <c r="A142" s="4" t="s">
        <v>172</v>
      </c>
      <c r="B142" s="9">
        <f>1259+1590+962+2742</f>
        <v>6553</v>
      </c>
      <c r="C142" s="9">
        <f>1123+618+852+914+2233</f>
        <v>5740</v>
      </c>
      <c r="D142" s="9">
        <f>871+505+715+764+1889</f>
        <v>4744</v>
      </c>
      <c r="E142" s="9">
        <f>743+484+574+655+1647</f>
        <v>4103</v>
      </c>
      <c r="F142" s="9">
        <f>577+428+491+496+1207</f>
        <v>3199</v>
      </c>
      <c r="G142" s="9">
        <f>1760+1029</f>
        <v>2789</v>
      </c>
      <c r="H142" s="9">
        <f>1482+877</f>
        <v>2359</v>
      </c>
      <c r="I142" s="9">
        <f>1259+731</f>
        <v>1990</v>
      </c>
      <c r="J142" s="9">
        <f>1043+710</f>
        <v>1753</v>
      </c>
      <c r="K142" s="9">
        <f>646+551</f>
        <v>1197</v>
      </c>
      <c r="L142" s="9">
        <v>981</v>
      </c>
      <c r="M142" s="9">
        <v>776</v>
      </c>
      <c r="N142" s="9">
        <v>802</v>
      </c>
      <c r="O142" s="9">
        <v>615</v>
      </c>
      <c r="P142" s="9">
        <v>551</v>
      </c>
      <c r="Q142" s="9">
        <v>488</v>
      </c>
      <c r="R142" s="10">
        <v>589</v>
      </c>
      <c r="S142" s="10">
        <v>401</v>
      </c>
      <c r="T142" s="10">
        <v>453</v>
      </c>
      <c r="U142" s="10">
        <v>298</v>
      </c>
      <c r="V142" s="10">
        <v>306</v>
      </c>
    </row>
    <row r="143" spans="1:22" ht="12.75">
      <c r="A143" s="4" t="s">
        <v>173</v>
      </c>
      <c r="B143" s="9">
        <f>2997+4090+5561</f>
        <v>12648</v>
      </c>
      <c r="C143" s="9">
        <f>2638+4094+6061</f>
        <v>12793</v>
      </c>
      <c r="D143" s="9">
        <f>2371+3936+3368+3013</f>
        <v>12688</v>
      </c>
      <c r="E143" s="9">
        <f>2055+3587+3263+3290</f>
        <v>12195</v>
      </c>
      <c r="F143" s="9">
        <f>1587+3054+3185+3163</f>
        <v>10989</v>
      </c>
      <c r="G143" s="9">
        <f>1749+2250+2711+2955</f>
        <v>9665</v>
      </c>
      <c r="H143" s="9">
        <f>1360+1856+2466+2689</f>
        <v>8371</v>
      </c>
      <c r="I143" s="9">
        <f>1116+1371+1880+2238</f>
        <v>6605</v>
      </c>
      <c r="J143" s="9">
        <f>935+1094+1514+1818</f>
        <v>5361</v>
      </c>
      <c r="K143" s="9">
        <f>818+889+1077+1287</f>
        <v>4071</v>
      </c>
      <c r="L143" s="9">
        <v>3438</v>
      </c>
      <c r="M143" s="9">
        <v>2790</v>
      </c>
      <c r="N143" s="9">
        <v>2780</v>
      </c>
      <c r="O143" s="9">
        <v>2252</v>
      </c>
      <c r="P143" s="9">
        <v>2079</v>
      </c>
      <c r="Q143" s="9">
        <v>1786</v>
      </c>
      <c r="R143" s="10">
        <v>1808</v>
      </c>
      <c r="S143" s="10">
        <v>1509</v>
      </c>
      <c r="T143" s="10">
        <v>1272</v>
      </c>
      <c r="U143" s="10">
        <v>1283</v>
      </c>
      <c r="V143" s="10">
        <v>1228</v>
      </c>
    </row>
    <row r="144" spans="1:22" ht="12.75">
      <c r="A144" s="4" t="s">
        <v>174</v>
      </c>
      <c r="B144" s="1"/>
      <c r="C144" s="1"/>
      <c r="D144" s="9">
        <f>2100+1378</f>
        <v>3478</v>
      </c>
      <c r="E144" s="9">
        <f>2473+1793</f>
        <v>4266</v>
      </c>
      <c r="F144" s="9">
        <f>2847+2217</f>
        <v>5064</v>
      </c>
      <c r="G144" s="9">
        <f>2970+2534</f>
        <v>5504</v>
      </c>
      <c r="H144" s="9">
        <f>2711+2642</f>
        <v>5353</v>
      </c>
      <c r="I144" s="9">
        <f>2516+2469</f>
        <v>4985</v>
      </c>
      <c r="J144" s="9">
        <f>2171+2261</f>
        <v>4432</v>
      </c>
      <c r="K144" s="9">
        <f>1647+1838</f>
        <v>3485</v>
      </c>
      <c r="L144" s="9">
        <v>2668</v>
      </c>
      <c r="M144" s="9">
        <v>2211</v>
      </c>
      <c r="N144" s="9">
        <v>1981</v>
      </c>
      <c r="O144" s="9">
        <v>1420</v>
      </c>
      <c r="P144" s="9">
        <v>1424</v>
      </c>
      <c r="Q144" s="9">
        <v>1183</v>
      </c>
      <c r="R144" s="10">
        <v>984</v>
      </c>
      <c r="S144" s="10">
        <v>786</v>
      </c>
      <c r="T144" s="10">
        <v>804</v>
      </c>
      <c r="U144" s="10">
        <v>829</v>
      </c>
      <c r="V144" s="10">
        <v>748</v>
      </c>
    </row>
    <row r="145" spans="1:22" ht="12.75">
      <c r="A145" s="4" t="s">
        <v>175</v>
      </c>
      <c r="D145" s="9">
        <f>999+547</f>
        <v>1546</v>
      </c>
      <c r="E145" s="9">
        <f>1169+731</f>
        <v>1900</v>
      </c>
      <c r="F145" s="9">
        <f>1599+1144</f>
        <v>2743</v>
      </c>
      <c r="G145" s="9">
        <f>2009+1492</f>
        <v>3501</v>
      </c>
      <c r="H145" s="9">
        <f>2242+1816</f>
        <v>4058</v>
      </c>
      <c r="I145" s="9">
        <f>2347+2140</f>
        <v>4487</v>
      </c>
      <c r="J145" s="9">
        <f>2247+2171</f>
        <v>4418</v>
      </c>
      <c r="K145" s="9">
        <f>1933+1959</f>
        <v>3892</v>
      </c>
      <c r="L145" s="9">
        <v>3250</v>
      </c>
      <c r="M145" s="9">
        <v>2859</v>
      </c>
      <c r="N145" s="9">
        <v>2400</v>
      </c>
      <c r="O145" s="9">
        <v>2003</v>
      </c>
      <c r="P145" s="9">
        <v>1728</v>
      </c>
      <c r="Q145" s="9">
        <v>1358</v>
      </c>
      <c r="R145" s="10">
        <v>1169</v>
      </c>
      <c r="S145" s="10">
        <v>1034</v>
      </c>
      <c r="T145" s="10">
        <v>841</v>
      </c>
      <c r="U145" s="10">
        <v>772</v>
      </c>
      <c r="V145" s="10">
        <v>640</v>
      </c>
    </row>
    <row r="146" spans="1:22" ht="12.75">
      <c r="A146" s="4" t="s">
        <v>176</v>
      </c>
      <c r="D146" s="9">
        <v>628</v>
      </c>
      <c r="E146" s="9">
        <v>812</v>
      </c>
      <c r="F146" s="9">
        <f>1211</f>
        <v>1211</v>
      </c>
      <c r="G146" s="9">
        <f>1058+641</f>
        <v>1699</v>
      </c>
      <c r="H146" s="9">
        <f>1370+894</f>
        <v>2264</v>
      </c>
      <c r="I146" s="9">
        <f>1793+1263</f>
        <v>3056</v>
      </c>
      <c r="J146" s="9">
        <f>2117+1693</f>
        <v>3810</v>
      </c>
      <c r="K146" s="9">
        <f>2045+1865</f>
        <v>3910</v>
      </c>
      <c r="L146" s="9">
        <v>3748</v>
      </c>
      <c r="M146" s="9">
        <v>3295</v>
      </c>
      <c r="N146" s="9">
        <v>3162</v>
      </c>
      <c r="O146" s="9">
        <v>2591</v>
      </c>
      <c r="P146" s="9">
        <v>2071</v>
      </c>
      <c r="Q146" s="9">
        <v>1890</v>
      </c>
      <c r="R146" s="10">
        <v>1668</v>
      </c>
      <c r="S146" s="10">
        <v>1444</v>
      </c>
      <c r="T146" s="10">
        <v>1057</v>
      </c>
      <c r="U146" s="10">
        <v>968</v>
      </c>
      <c r="V146" s="10">
        <v>811</v>
      </c>
    </row>
    <row r="147" spans="1:22" ht="12.75">
      <c r="A147" s="4" t="s">
        <v>177</v>
      </c>
      <c r="G147" s="9">
        <f>520+304</f>
        <v>824</v>
      </c>
      <c r="H147" s="9">
        <f>776+460</f>
        <v>1236</v>
      </c>
      <c r="I147" s="9">
        <f>1057+736</f>
        <v>1793</v>
      </c>
      <c r="J147" s="9">
        <f>1432+1141</f>
        <v>2573</v>
      </c>
      <c r="K147" s="9">
        <f>1841+1600</f>
        <v>3441</v>
      </c>
      <c r="L147" s="9">
        <v>3674</v>
      </c>
      <c r="M147" s="9">
        <v>3468</v>
      </c>
      <c r="N147" s="9">
        <v>3217</v>
      </c>
      <c r="O147" s="9">
        <v>2843</v>
      </c>
      <c r="P147" s="9">
        <v>2741</v>
      </c>
      <c r="Q147" s="9">
        <v>2395</v>
      </c>
      <c r="R147" s="10">
        <v>2140</v>
      </c>
      <c r="S147" s="10">
        <v>1896</v>
      </c>
      <c r="T147" s="10">
        <v>1385</v>
      </c>
      <c r="U147" s="10">
        <v>1276</v>
      </c>
      <c r="V147" s="10">
        <v>1048</v>
      </c>
    </row>
    <row r="148" spans="1:22" ht="12.75">
      <c r="A148" s="4" t="s">
        <v>184</v>
      </c>
      <c r="G148" s="9">
        <v>430</v>
      </c>
      <c r="H148" s="9">
        <v>682</v>
      </c>
      <c r="I148" s="9">
        <v>1065</v>
      </c>
      <c r="J148" s="9">
        <v>1598</v>
      </c>
      <c r="K148" s="9">
        <f>2527</f>
        <v>2527</v>
      </c>
      <c r="L148" s="9">
        <v>3251</v>
      </c>
      <c r="M148" s="9">
        <v>3208</v>
      </c>
      <c r="N148" s="9">
        <v>3000</v>
      </c>
      <c r="O148" s="9">
        <v>3019</v>
      </c>
      <c r="P148" s="9">
        <v>2850</v>
      </c>
      <c r="Q148" s="9">
        <v>2805</v>
      </c>
      <c r="R148" s="10">
        <v>2394</v>
      </c>
      <c r="S148" s="10">
        <v>2159</v>
      </c>
      <c r="T148" s="10">
        <v>1859</v>
      </c>
      <c r="U148" s="10">
        <v>1629</v>
      </c>
      <c r="V148" s="10">
        <v>1512</v>
      </c>
    </row>
    <row r="149" spans="1:22" ht="12.75">
      <c r="A149" s="4" t="s">
        <v>185</v>
      </c>
      <c r="G149" s="9">
        <v>240</v>
      </c>
      <c r="H149" s="9">
        <v>382</v>
      </c>
      <c r="I149" s="9">
        <v>539</v>
      </c>
      <c r="J149" s="9">
        <v>1039</v>
      </c>
      <c r="K149" s="9">
        <v>1685</v>
      </c>
      <c r="L149" s="9">
        <v>2386</v>
      </c>
      <c r="M149" s="9">
        <v>2780</v>
      </c>
      <c r="N149" s="9">
        <v>2672</v>
      </c>
      <c r="O149" s="9">
        <v>2861</v>
      </c>
      <c r="P149" s="9">
        <v>2851</v>
      </c>
      <c r="Q149" s="9">
        <v>2840</v>
      </c>
      <c r="R149" s="10">
        <v>2551</v>
      </c>
      <c r="S149" s="10">
        <v>2495</v>
      </c>
      <c r="T149" s="10">
        <v>2052</v>
      </c>
      <c r="U149" s="10">
        <v>2095</v>
      </c>
      <c r="V149" s="10">
        <v>1841</v>
      </c>
    </row>
    <row r="150" spans="1:22" ht="12.75">
      <c r="A150" s="4" t="s">
        <v>178</v>
      </c>
      <c r="G150" s="9">
        <f>130+59</f>
        <v>189</v>
      </c>
      <c r="H150" s="9">
        <f>238+110</f>
        <v>348</v>
      </c>
      <c r="I150" s="9">
        <f>366+241</f>
        <v>607</v>
      </c>
      <c r="J150" s="9">
        <f>614+358</f>
        <v>972</v>
      </c>
      <c r="K150" s="9">
        <f>1128+734</f>
        <v>1862</v>
      </c>
      <c r="L150" s="9">
        <v>3151</v>
      </c>
      <c r="M150" s="9">
        <v>4023</v>
      </c>
      <c r="N150" s="9">
        <v>4388</v>
      </c>
      <c r="O150" s="9">
        <v>4641</v>
      </c>
      <c r="P150" s="9">
        <v>4817</v>
      </c>
      <c r="Q150" s="9">
        <v>5076</v>
      </c>
      <c r="R150" s="10">
        <v>5327</v>
      </c>
      <c r="S150" s="10">
        <v>5289</v>
      </c>
      <c r="T150" s="10">
        <v>4686</v>
      </c>
      <c r="U150" s="10">
        <v>4366</v>
      </c>
      <c r="V150" s="10">
        <v>3897</v>
      </c>
    </row>
    <row r="151" spans="1:22" ht="12.75">
      <c r="A151" s="4" t="s">
        <v>179</v>
      </c>
      <c r="G151" s="9">
        <f>72</f>
        <v>72</v>
      </c>
      <c r="H151" s="9">
        <v>99</v>
      </c>
      <c r="I151" s="9">
        <v>242</v>
      </c>
      <c r="J151" s="9">
        <v>446</v>
      </c>
      <c r="K151" s="9">
        <v>848</v>
      </c>
      <c r="L151" s="9">
        <v>1703</v>
      </c>
      <c r="M151" s="9">
        <v>2223</v>
      </c>
      <c r="N151" s="9">
        <v>2983</v>
      </c>
      <c r="O151" s="9">
        <v>3252</v>
      </c>
      <c r="P151" s="9">
        <v>3683</v>
      </c>
      <c r="Q151" s="9">
        <v>4188</v>
      </c>
      <c r="R151" s="10">
        <v>4365</v>
      </c>
      <c r="S151" s="10">
        <v>4554</v>
      </c>
      <c r="T151" s="10">
        <v>4559</v>
      </c>
      <c r="U151" s="10">
        <v>4252</v>
      </c>
      <c r="V151" s="10">
        <v>4099</v>
      </c>
    </row>
    <row r="152" spans="1:22" ht="12.75">
      <c r="A152" s="4" t="s">
        <v>180</v>
      </c>
      <c r="G152" s="1"/>
      <c r="H152" s="1"/>
      <c r="I152" s="1"/>
      <c r="J152" s="1"/>
      <c r="K152" s="1"/>
      <c r="L152" s="9">
        <v>835</v>
      </c>
      <c r="M152" s="9">
        <v>1208</v>
      </c>
      <c r="N152" s="9">
        <v>1692</v>
      </c>
      <c r="O152" s="9">
        <v>2078</v>
      </c>
      <c r="P152" s="9">
        <v>2382</v>
      </c>
      <c r="Q152" s="9">
        <v>2910</v>
      </c>
      <c r="R152" s="10">
        <v>3162</v>
      </c>
      <c r="S152" s="10">
        <v>3414</v>
      </c>
      <c r="T152" s="10">
        <v>3682</v>
      </c>
      <c r="U152" s="10">
        <v>3762</v>
      </c>
      <c r="V152" s="10">
        <v>3694</v>
      </c>
    </row>
    <row r="153" spans="1:22" ht="12.75">
      <c r="A153" s="4" t="s">
        <v>181</v>
      </c>
      <c r="L153" s="9">
        <v>678</v>
      </c>
      <c r="M153" s="9">
        <v>1149</v>
      </c>
      <c r="N153" s="9">
        <v>1545</v>
      </c>
      <c r="O153" s="9">
        <v>1945</v>
      </c>
      <c r="P153" s="9">
        <v>2257</v>
      </c>
      <c r="Q153" s="9">
        <v>2856</v>
      </c>
      <c r="R153" s="10">
        <v>3133</v>
      </c>
      <c r="S153" s="10">
        <v>3681</v>
      </c>
      <c r="T153" s="10">
        <v>4526</v>
      </c>
      <c r="U153" s="10">
        <v>4612</v>
      </c>
      <c r="V153" s="10">
        <v>5273</v>
      </c>
    </row>
    <row r="154" spans="1:22" ht="12.75">
      <c r="A154" s="4" t="s">
        <v>182</v>
      </c>
      <c r="L154" s="9">
        <v>318</v>
      </c>
      <c r="M154" s="9">
        <v>374</v>
      </c>
      <c r="N154" s="9">
        <v>528</v>
      </c>
      <c r="O154" s="9">
        <v>765</v>
      </c>
      <c r="P154" s="9">
        <v>971</v>
      </c>
      <c r="Q154" s="9">
        <v>1244</v>
      </c>
      <c r="R154" s="10">
        <v>1395</v>
      </c>
      <c r="S154" s="10">
        <v>1779</v>
      </c>
      <c r="T154" s="10">
        <v>2363</v>
      </c>
      <c r="U154" s="10">
        <v>2787</v>
      </c>
      <c r="V154" s="10">
        <v>3178</v>
      </c>
    </row>
    <row r="155" spans="1:22" ht="12.75">
      <c r="A155" s="4" t="s">
        <v>183</v>
      </c>
      <c r="L155" s="9">
        <v>111</v>
      </c>
      <c r="M155" s="9">
        <v>157</v>
      </c>
      <c r="N155" s="9">
        <v>234</v>
      </c>
      <c r="O155" s="9">
        <v>296</v>
      </c>
      <c r="P155" s="9">
        <v>379</v>
      </c>
      <c r="Q155" s="9">
        <v>420</v>
      </c>
      <c r="R155" s="10">
        <v>556</v>
      </c>
      <c r="S155" s="10">
        <v>652</v>
      </c>
      <c r="T155" s="10">
        <v>1046</v>
      </c>
      <c r="U155" s="10">
        <v>1167</v>
      </c>
      <c r="V155" s="10">
        <v>1644</v>
      </c>
    </row>
    <row r="156" spans="1:22" ht="12.75">
      <c r="A156" s="4" t="s">
        <v>186</v>
      </c>
      <c r="L156" s="9">
        <v>57</v>
      </c>
      <c r="M156" s="9">
        <v>139</v>
      </c>
      <c r="N156" s="9">
        <v>155</v>
      </c>
      <c r="O156" s="9">
        <v>244</v>
      </c>
      <c r="P156" s="9">
        <v>275</v>
      </c>
      <c r="Q156" s="9">
        <v>365</v>
      </c>
      <c r="R156" s="10">
        <v>589</v>
      </c>
      <c r="S156" s="10">
        <v>813</v>
      </c>
      <c r="T156" s="10">
        <v>1209</v>
      </c>
      <c r="U156" s="10">
        <v>1291</v>
      </c>
      <c r="V156" s="10">
        <v>1886</v>
      </c>
    </row>
    <row r="157" spans="1:22" ht="12.75">
      <c r="A157" s="4" t="s">
        <v>76</v>
      </c>
      <c r="B157" s="9">
        <v>1628</v>
      </c>
      <c r="C157" s="9">
        <v>1173</v>
      </c>
      <c r="D157" s="9">
        <v>1267</v>
      </c>
      <c r="E157" s="9">
        <v>1277</v>
      </c>
      <c r="F157" s="9">
        <v>1308</v>
      </c>
      <c r="G157" s="9">
        <v>1285</v>
      </c>
      <c r="H157" s="9">
        <v>1287</v>
      </c>
      <c r="I157" s="9">
        <v>1313</v>
      </c>
      <c r="J157" s="9">
        <v>1326</v>
      </c>
      <c r="K157" s="9">
        <v>1401</v>
      </c>
      <c r="L157" s="9">
        <v>2032</v>
      </c>
      <c r="M157" s="9">
        <v>2065</v>
      </c>
      <c r="N157" s="9">
        <v>2229</v>
      </c>
      <c r="O157" s="9">
        <v>2526</v>
      </c>
      <c r="P157" s="9">
        <v>2414</v>
      </c>
      <c r="Q157" s="9">
        <v>2344</v>
      </c>
      <c r="R157" s="10">
        <v>2171</v>
      </c>
      <c r="S157" s="10">
        <v>2100</v>
      </c>
      <c r="T157" s="10">
        <v>2201</v>
      </c>
      <c r="U157" s="10">
        <v>2218</v>
      </c>
      <c r="V157" s="10">
        <v>2134</v>
      </c>
    </row>
    <row r="158" spans="1:22" ht="12.75">
      <c r="A158" s="4" t="s">
        <v>251</v>
      </c>
      <c r="B158" s="9">
        <f>2922+598</f>
        <v>3520</v>
      </c>
      <c r="C158" s="9">
        <f>3755+830</f>
        <v>4585</v>
      </c>
      <c r="R158" s="10"/>
      <c r="S158" s="10"/>
      <c r="T158" s="10"/>
      <c r="U158" s="10"/>
      <c r="V158" s="10"/>
    </row>
    <row r="159" spans="1:22" ht="12.75">
      <c r="A159" s="4" t="s">
        <v>143</v>
      </c>
      <c r="B159" s="1"/>
      <c r="C159" s="1"/>
      <c r="D159" s="9">
        <v>610</v>
      </c>
      <c r="E159" s="10">
        <v>866</v>
      </c>
      <c r="F159" s="10">
        <v>1300</v>
      </c>
      <c r="G159" s="10"/>
      <c r="H159" s="10"/>
      <c r="I159" s="10"/>
      <c r="J159" s="10"/>
      <c r="K159" s="10"/>
      <c r="L159" s="10">
        <f aca="true" t="shared" si="20" ref="L159:V159">SUM(L147:L156)</f>
        <v>16164</v>
      </c>
      <c r="M159" s="10">
        <f t="shared" si="20"/>
        <v>18729</v>
      </c>
      <c r="N159" s="10">
        <f t="shared" si="20"/>
        <v>20414</v>
      </c>
      <c r="O159" s="10">
        <f t="shared" si="20"/>
        <v>21944</v>
      </c>
      <c r="P159" s="10">
        <f t="shared" si="20"/>
        <v>23206</v>
      </c>
      <c r="Q159" s="10">
        <f t="shared" si="20"/>
        <v>25099</v>
      </c>
      <c r="R159" s="10">
        <f t="shared" si="20"/>
        <v>25612</v>
      </c>
      <c r="S159" s="10">
        <f t="shared" si="20"/>
        <v>26732</v>
      </c>
      <c r="T159" s="10">
        <f t="shared" si="20"/>
        <v>27367</v>
      </c>
      <c r="U159" s="10">
        <f t="shared" si="20"/>
        <v>27237</v>
      </c>
      <c r="V159" s="10">
        <f t="shared" si="20"/>
        <v>28072</v>
      </c>
    </row>
    <row r="160" spans="1:22" ht="12.75">
      <c r="A160" s="4" t="s">
        <v>329</v>
      </c>
      <c r="B160" s="1"/>
      <c r="C160" s="1"/>
      <c r="E160" s="10"/>
      <c r="F160" s="10"/>
      <c r="G160" s="10">
        <f>19+30</f>
        <v>49</v>
      </c>
      <c r="H160" s="10">
        <f>19+89</f>
        <v>108</v>
      </c>
      <c r="I160" s="10">
        <f>42+148</f>
        <v>190</v>
      </c>
      <c r="J160" s="10">
        <f>81+313</f>
        <v>394</v>
      </c>
      <c r="K160" s="10">
        <f>250+645</f>
        <v>895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ht="12.75">
      <c r="A161" s="4" t="s">
        <v>93</v>
      </c>
      <c r="B161" s="37">
        <v>133</v>
      </c>
      <c r="C161" s="37">
        <v>143</v>
      </c>
      <c r="D161" s="37">
        <v>156</v>
      </c>
      <c r="E161" s="37">
        <v>167</v>
      </c>
      <c r="F161" s="37">
        <v>184</v>
      </c>
      <c r="G161" s="37">
        <v>200</v>
      </c>
      <c r="H161" s="37">
        <v>217</v>
      </c>
      <c r="I161" s="37">
        <v>241</v>
      </c>
      <c r="J161" s="37">
        <v>270</v>
      </c>
      <c r="K161" s="37">
        <v>315</v>
      </c>
      <c r="L161" s="37">
        <v>364</v>
      </c>
      <c r="M161" s="37">
        <v>399</v>
      </c>
      <c r="N161" s="37">
        <v>424</v>
      </c>
      <c r="O161" s="37">
        <v>462</v>
      </c>
      <c r="P161" s="37">
        <v>487</v>
      </c>
      <c r="Q161" s="37">
        <v>523</v>
      </c>
      <c r="R161" s="37">
        <v>549</v>
      </c>
      <c r="S161" s="37">
        <v>580</v>
      </c>
      <c r="T161" s="37">
        <v>633</v>
      </c>
      <c r="U161" s="37">
        <v>651</v>
      </c>
      <c r="V161" s="37">
        <v>694</v>
      </c>
    </row>
    <row r="162" spans="1:22" ht="12.75">
      <c r="A162" s="77" t="s">
        <v>148</v>
      </c>
      <c r="B162" s="9">
        <f>B163-SUM(B142:B159)</f>
        <v>-1</v>
      </c>
      <c r="C162" s="9">
        <f>C163-SUM(C142:C159)</f>
        <v>1</v>
      </c>
      <c r="D162" s="9">
        <f>D163-SUM(D142:D159)</f>
        <v>-2</v>
      </c>
      <c r="E162" s="9">
        <f>E163-SUM(E142:E159)</f>
        <v>1</v>
      </c>
      <c r="F162" s="9">
        <f>F163-SUM(F142:F159)</f>
        <v>1</v>
      </c>
      <c r="G162" s="9">
        <f>G163-SUM(G142:G160)</f>
        <v>0</v>
      </c>
      <c r="H162" s="44">
        <f>H163-SUM(H142:H160)</f>
        <v>3</v>
      </c>
      <c r="I162" s="9">
        <f>I163-SUM(I142:I160)</f>
        <v>2</v>
      </c>
      <c r="J162" s="9">
        <f>J163-SUM(J142:J160)</f>
        <v>1</v>
      </c>
      <c r="K162" s="9">
        <f>K163-SUM(K142:K160)</f>
        <v>0</v>
      </c>
      <c r="L162" s="9">
        <f aca="true" t="shared" si="21" ref="L162:V162">L38-SUM(L142:L157)</f>
        <v>-1</v>
      </c>
      <c r="M162" s="9">
        <f t="shared" si="21"/>
        <v>-1</v>
      </c>
      <c r="N162" s="9">
        <f t="shared" si="21"/>
        <v>-1</v>
      </c>
      <c r="O162" s="9">
        <f t="shared" si="21"/>
        <v>0</v>
      </c>
      <c r="P162" s="9">
        <f t="shared" si="21"/>
        <v>-1</v>
      </c>
      <c r="Q162" s="9">
        <f t="shared" si="21"/>
        <v>2</v>
      </c>
      <c r="R162" s="9">
        <f t="shared" si="21"/>
        <v>-1</v>
      </c>
      <c r="S162" s="9">
        <f t="shared" si="21"/>
        <v>1</v>
      </c>
      <c r="T162" s="9">
        <f t="shared" si="21"/>
        <v>1</v>
      </c>
      <c r="U162" s="9">
        <f t="shared" si="21"/>
        <v>-1</v>
      </c>
      <c r="V162" s="9">
        <f t="shared" si="21"/>
        <v>1</v>
      </c>
    </row>
    <row r="163" spans="1:11" ht="12.75">
      <c r="A163" s="8" t="s">
        <v>254</v>
      </c>
      <c r="B163" s="9">
        <v>24348</v>
      </c>
      <c r="C163" s="9">
        <v>24292</v>
      </c>
      <c r="D163" s="9">
        <v>24959</v>
      </c>
      <c r="E163" s="9">
        <v>25420</v>
      </c>
      <c r="F163" s="9">
        <v>25815</v>
      </c>
      <c r="G163" s="9">
        <v>26247</v>
      </c>
      <c r="H163" s="9">
        <v>26550</v>
      </c>
      <c r="I163" s="9">
        <v>26874</v>
      </c>
      <c r="J163" s="9">
        <v>28123</v>
      </c>
      <c r="K163" s="9">
        <v>29214</v>
      </c>
    </row>
    <row r="165" ht="12.75">
      <c r="A165" s="4" t="s">
        <v>187</v>
      </c>
    </row>
    <row r="166" spans="1:22" ht="12.75">
      <c r="A166" s="4" t="s">
        <v>188</v>
      </c>
      <c r="L166" s="9">
        <v>228</v>
      </c>
      <c r="M166" s="9">
        <v>195</v>
      </c>
      <c r="N166" s="9">
        <v>234</v>
      </c>
      <c r="O166" s="9">
        <v>221</v>
      </c>
      <c r="P166" s="9">
        <v>156</v>
      </c>
      <c r="Q166" s="9">
        <v>191</v>
      </c>
      <c r="R166" s="9">
        <v>357</v>
      </c>
      <c r="S166" s="9">
        <v>293</v>
      </c>
      <c r="T166" s="9">
        <v>311</v>
      </c>
      <c r="U166" s="9">
        <v>271</v>
      </c>
      <c r="V166" s="9">
        <v>253</v>
      </c>
    </row>
    <row r="167" spans="1:22" ht="12.75">
      <c r="A167" s="4" t="s">
        <v>189</v>
      </c>
      <c r="L167" s="9">
        <v>991</v>
      </c>
      <c r="M167" s="9">
        <v>928</v>
      </c>
      <c r="N167" s="9">
        <v>1139</v>
      </c>
      <c r="O167" s="9">
        <v>1030</v>
      </c>
      <c r="P167" s="9">
        <v>889</v>
      </c>
      <c r="Q167" s="9">
        <v>938</v>
      </c>
      <c r="R167" s="9">
        <v>1210</v>
      </c>
      <c r="S167" s="9">
        <v>1203</v>
      </c>
      <c r="T167" s="9">
        <v>1136</v>
      </c>
      <c r="U167" s="9">
        <v>1085</v>
      </c>
      <c r="V167" s="9">
        <v>925</v>
      </c>
    </row>
    <row r="168" spans="1:22" ht="12.75">
      <c r="A168" s="25" t="s">
        <v>255</v>
      </c>
      <c r="B168" s="9">
        <v>1855</v>
      </c>
      <c r="C168" s="9">
        <v>1943</v>
      </c>
      <c r="D168" s="9">
        <v>1710</v>
      </c>
      <c r="E168" s="9">
        <v>1567</v>
      </c>
      <c r="F168" s="9">
        <v>1461</v>
      </c>
      <c r="G168" s="9">
        <v>1337</v>
      </c>
      <c r="H168" s="9">
        <v>1249</v>
      </c>
      <c r="I168" s="9">
        <v>1231</v>
      </c>
      <c r="J168" s="9">
        <v>1131</v>
      </c>
      <c r="K168" s="9">
        <v>1077</v>
      </c>
      <c r="L168" s="9">
        <f aca="true" t="shared" si="22" ref="L168:V168">L166+L167</f>
        <v>1219</v>
      </c>
      <c r="M168" s="9">
        <f t="shared" si="22"/>
        <v>1123</v>
      </c>
      <c r="N168" s="9">
        <f t="shared" si="22"/>
        <v>1373</v>
      </c>
      <c r="O168" s="9">
        <f t="shared" si="22"/>
        <v>1251</v>
      </c>
      <c r="P168" s="9">
        <f t="shared" si="22"/>
        <v>1045</v>
      </c>
      <c r="Q168" s="9">
        <f t="shared" si="22"/>
        <v>1129</v>
      </c>
      <c r="R168" s="9">
        <f t="shared" si="22"/>
        <v>1567</v>
      </c>
      <c r="S168" s="9">
        <f t="shared" si="22"/>
        <v>1496</v>
      </c>
      <c r="T168" s="9">
        <f t="shared" si="22"/>
        <v>1447</v>
      </c>
      <c r="U168" s="9">
        <f t="shared" si="22"/>
        <v>1356</v>
      </c>
      <c r="V168" s="9">
        <f t="shared" si="22"/>
        <v>1178</v>
      </c>
    </row>
    <row r="169" spans="1:22" ht="12.75">
      <c r="A169" s="4" t="s">
        <v>190</v>
      </c>
      <c r="B169" s="9">
        <v>3849</v>
      </c>
      <c r="C169" s="9">
        <v>3803</v>
      </c>
      <c r="D169" s="9">
        <v>3599</v>
      </c>
      <c r="E169" s="9">
        <v>3529</v>
      </c>
      <c r="F169" s="9">
        <v>3229</v>
      </c>
      <c r="G169" s="9">
        <v>3277</v>
      </c>
      <c r="H169" s="9">
        <v>2962</v>
      </c>
      <c r="I169" s="9">
        <v>2833</v>
      </c>
      <c r="J169" s="9">
        <v>2852</v>
      </c>
      <c r="K169" s="9">
        <v>2792</v>
      </c>
      <c r="L169" s="9">
        <v>3012</v>
      </c>
      <c r="M169" s="9">
        <v>2634</v>
      </c>
      <c r="N169" s="9">
        <v>3218</v>
      </c>
      <c r="O169" s="9">
        <v>2735</v>
      </c>
      <c r="P169" s="9">
        <v>2848</v>
      </c>
      <c r="Q169" s="9">
        <v>2741</v>
      </c>
      <c r="R169" s="9">
        <v>2900</v>
      </c>
      <c r="S169" s="9">
        <v>3122</v>
      </c>
      <c r="T169" s="9">
        <v>2850</v>
      </c>
      <c r="U169" s="9">
        <v>2542</v>
      </c>
      <c r="V169" s="9">
        <v>2359</v>
      </c>
    </row>
    <row r="170" spans="1:22" ht="12.75">
      <c r="A170" s="4" t="s">
        <v>200</v>
      </c>
      <c r="B170" s="9">
        <v>4238</v>
      </c>
      <c r="C170" s="9">
        <v>4240</v>
      </c>
      <c r="D170" s="9">
        <v>4095</v>
      </c>
      <c r="E170" s="9">
        <v>4146</v>
      </c>
      <c r="F170" s="9">
        <v>4152</v>
      </c>
      <c r="G170" s="9">
        <v>4081</v>
      </c>
      <c r="H170" s="9">
        <v>4109</v>
      </c>
      <c r="I170" s="9">
        <v>4015</v>
      </c>
      <c r="J170" s="9">
        <v>4084</v>
      </c>
      <c r="K170" s="9">
        <v>3815</v>
      </c>
      <c r="L170" s="9">
        <v>4300</v>
      </c>
      <c r="M170" s="9">
        <v>3891</v>
      </c>
      <c r="N170" s="9">
        <v>4451</v>
      </c>
      <c r="O170" s="9">
        <v>4265</v>
      </c>
      <c r="P170" s="9">
        <v>4083</v>
      </c>
      <c r="Q170" s="9">
        <v>4035</v>
      </c>
      <c r="R170" s="9">
        <v>4139</v>
      </c>
      <c r="S170" s="9">
        <v>4226</v>
      </c>
      <c r="T170" s="9">
        <v>3966</v>
      </c>
      <c r="U170" s="9">
        <v>3521</v>
      </c>
      <c r="V170" s="9">
        <v>3462</v>
      </c>
    </row>
    <row r="171" spans="1:22" ht="12.75">
      <c r="A171" s="4" t="s">
        <v>191</v>
      </c>
      <c r="B171" s="9">
        <v>3322</v>
      </c>
      <c r="C171" s="9">
        <v>3337</v>
      </c>
      <c r="D171" s="9">
        <v>3572</v>
      </c>
      <c r="E171" s="9">
        <v>3572</v>
      </c>
      <c r="F171" s="9">
        <v>3664</v>
      </c>
      <c r="G171" s="9">
        <v>3819</v>
      </c>
      <c r="H171" s="9">
        <v>3840</v>
      </c>
      <c r="I171" s="9">
        <v>3817</v>
      </c>
      <c r="J171" s="9">
        <v>4128</v>
      </c>
      <c r="K171" s="9">
        <v>3912</v>
      </c>
      <c r="L171" s="9">
        <v>4418</v>
      </c>
      <c r="M171" s="9">
        <v>4107</v>
      </c>
      <c r="N171" s="9">
        <v>4620</v>
      </c>
      <c r="O171" s="9">
        <v>4225</v>
      </c>
      <c r="P171" s="9">
        <v>4114</v>
      </c>
      <c r="Q171" s="9">
        <v>4144</v>
      </c>
      <c r="R171" s="9">
        <v>4095</v>
      </c>
      <c r="S171" s="9">
        <v>4235</v>
      </c>
      <c r="T171" s="9">
        <v>4072</v>
      </c>
      <c r="U171" s="9">
        <v>4030</v>
      </c>
      <c r="V171" s="9">
        <v>3658</v>
      </c>
    </row>
    <row r="172" spans="1:22" ht="12.75">
      <c r="A172" s="4" t="s">
        <v>192</v>
      </c>
      <c r="L172" s="9">
        <v>3767</v>
      </c>
      <c r="M172" s="9">
        <v>3878</v>
      </c>
      <c r="N172" s="9">
        <v>3972</v>
      </c>
      <c r="O172" s="9">
        <v>3906</v>
      </c>
      <c r="P172" s="9">
        <v>3710</v>
      </c>
      <c r="Q172" s="9">
        <v>3996</v>
      </c>
      <c r="R172" s="9">
        <v>3465</v>
      </c>
      <c r="S172" s="9">
        <v>3562</v>
      </c>
      <c r="T172" s="9">
        <v>3623</v>
      </c>
      <c r="U172" s="9">
        <v>3545</v>
      </c>
      <c r="V172" s="9">
        <v>3607</v>
      </c>
    </row>
    <row r="173" spans="1:22" ht="12.75">
      <c r="A173" s="4" t="s">
        <v>193</v>
      </c>
      <c r="L173" s="9">
        <v>2550</v>
      </c>
      <c r="M173" s="9">
        <v>2958</v>
      </c>
      <c r="N173" s="9">
        <v>3066</v>
      </c>
      <c r="O173" s="9">
        <v>2882</v>
      </c>
      <c r="P173" s="9">
        <v>2984</v>
      </c>
      <c r="Q173" s="9">
        <v>2928</v>
      </c>
      <c r="R173" s="9">
        <v>2746</v>
      </c>
      <c r="S173" s="9">
        <v>2832</v>
      </c>
      <c r="T173" s="9">
        <v>2659</v>
      </c>
      <c r="U173" s="9">
        <v>2847</v>
      </c>
      <c r="V173" s="9">
        <v>2994</v>
      </c>
    </row>
    <row r="174" spans="1:22" ht="12.75">
      <c r="A174" s="25" t="s">
        <v>256</v>
      </c>
      <c r="B174" s="9">
        <v>3706</v>
      </c>
      <c r="C174" s="9">
        <f>3885</f>
        <v>3885</v>
      </c>
      <c r="D174" s="9">
        <v>3990</v>
      </c>
      <c r="E174" s="9">
        <v>4301</v>
      </c>
      <c r="F174" s="9">
        <v>4476</v>
      </c>
      <c r="G174" s="9">
        <v>4695</v>
      </c>
      <c r="H174" s="9">
        <v>4974</v>
      </c>
      <c r="I174" s="9">
        <v>4913</v>
      </c>
      <c r="J174" s="9">
        <v>5229</v>
      </c>
      <c r="K174" s="9">
        <v>5699</v>
      </c>
      <c r="L174" s="9">
        <f aca="true" t="shared" si="23" ref="L174:V174">L172+L173</f>
        <v>6317</v>
      </c>
      <c r="M174" s="9">
        <f t="shared" si="23"/>
        <v>6836</v>
      </c>
      <c r="N174" s="9">
        <f t="shared" si="23"/>
        <v>7038</v>
      </c>
      <c r="O174" s="9">
        <f t="shared" si="23"/>
        <v>6788</v>
      </c>
      <c r="P174" s="9">
        <f t="shared" si="23"/>
        <v>6694</v>
      </c>
      <c r="Q174" s="9">
        <f t="shared" si="23"/>
        <v>6924</v>
      </c>
      <c r="R174" s="9">
        <f t="shared" si="23"/>
        <v>6211</v>
      </c>
      <c r="S174" s="9">
        <f t="shared" si="23"/>
        <v>6394</v>
      </c>
      <c r="T174" s="9">
        <f t="shared" si="23"/>
        <v>6282</v>
      </c>
      <c r="U174" s="9">
        <f t="shared" si="23"/>
        <v>6392</v>
      </c>
      <c r="V174" s="9">
        <f t="shared" si="23"/>
        <v>6601</v>
      </c>
    </row>
    <row r="175" spans="1:22" ht="12.75">
      <c r="A175" s="4" t="s">
        <v>194</v>
      </c>
      <c r="L175" s="9">
        <v>1862</v>
      </c>
      <c r="M175" s="9">
        <v>1979</v>
      </c>
      <c r="N175" s="9">
        <v>1998</v>
      </c>
      <c r="O175" s="9">
        <v>2000</v>
      </c>
      <c r="P175" s="9">
        <v>2095</v>
      </c>
      <c r="Q175" s="9">
        <v>2301</v>
      </c>
      <c r="R175" s="9">
        <v>2001</v>
      </c>
      <c r="S175" s="9">
        <v>2067</v>
      </c>
      <c r="T175" s="9">
        <v>2030</v>
      </c>
      <c r="U175" s="9">
        <v>2078</v>
      </c>
      <c r="V175" s="9">
        <v>2217</v>
      </c>
    </row>
    <row r="176" spans="1:22" ht="12.75">
      <c r="A176" s="4" t="s">
        <v>195</v>
      </c>
      <c r="L176" s="9">
        <v>2327</v>
      </c>
      <c r="M176" s="9">
        <v>2738</v>
      </c>
      <c r="N176" s="9">
        <v>2576</v>
      </c>
      <c r="O176" s="9">
        <v>2669</v>
      </c>
      <c r="P176" s="9">
        <v>2781</v>
      </c>
      <c r="Q176" s="9">
        <v>2793</v>
      </c>
      <c r="R176" s="9">
        <v>2517</v>
      </c>
      <c r="S176" s="9">
        <v>2577</v>
      </c>
      <c r="T176" s="9">
        <v>2722</v>
      </c>
      <c r="U176" s="9">
        <v>3017</v>
      </c>
      <c r="V176" s="9">
        <v>2809</v>
      </c>
    </row>
    <row r="177" spans="1:22" s="41" customFormat="1" ht="12.75">
      <c r="A177" s="25" t="s">
        <v>257</v>
      </c>
      <c r="B177" s="42"/>
      <c r="C177" s="42"/>
      <c r="D177" s="42">
        <v>2878</v>
      </c>
      <c r="E177" s="42">
        <v>3046</v>
      </c>
      <c r="F177" s="42">
        <v>3216</v>
      </c>
      <c r="G177" s="42">
        <v>3346</v>
      </c>
      <c r="H177" s="42">
        <v>3380</v>
      </c>
      <c r="I177" s="42">
        <v>3499</v>
      </c>
      <c r="J177" s="42">
        <v>3741</v>
      </c>
      <c r="K177" s="42">
        <v>3954</v>
      </c>
      <c r="L177" s="42">
        <f aca="true" t="shared" si="24" ref="L177:V177">L175+L176</f>
        <v>4189</v>
      </c>
      <c r="M177" s="42">
        <f t="shared" si="24"/>
        <v>4717</v>
      </c>
      <c r="N177" s="42">
        <f t="shared" si="24"/>
        <v>4574</v>
      </c>
      <c r="O177" s="42">
        <f t="shared" si="24"/>
        <v>4669</v>
      </c>
      <c r="P177" s="42">
        <f t="shared" si="24"/>
        <v>4876</v>
      </c>
      <c r="Q177" s="42">
        <f t="shared" si="24"/>
        <v>5094</v>
      </c>
      <c r="R177" s="42">
        <f t="shared" si="24"/>
        <v>4518</v>
      </c>
      <c r="S177" s="42">
        <f t="shared" si="24"/>
        <v>4644</v>
      </c>
      <c r="T177" s="42">
        <f t="shared" si="24"/>
        <v>4752</v>
      </c>
      <c r="U177" s="42">
        <f t="shared" si="24"/>
        <v>5095</v>
      </c>
      <c r="V177" s="42">
        <f t="shared" si="24"/>
        <v>5026</v>
      </c>
    </row>
    <row r="178" spans="1:22" ht="12.75">
      <c r="A178" s="4" t="s">
        <v>196</v>
      </c>
      <c r="L178" s="9">
        <v>1469</v>
      </c>
      <c r="M178" s="9">
        <v>1752</v>
      </c>
      <c r="N178" s="9">
        <v>1547</v>
      </c>
      <c r="O178" s="9">
        <v>1707</v>
      </c>
      <c r="P178" s="9">
        <v>1615</v>
      </c>
      <c r="Q178" s="9">
        <v>1649</v>
      </c>
      <c r="R178" s="9">
        <v>1577</v>
      </c>
      <c r="S178" s="9">
        <v>1608</v>
      </c>
      <c r="T178" s="9">
        <v>1731</v>
      </c>
      <c r="U178" s="9">
        <v>1727</v>
      </c>
      <c r="V178" s="9">
        <v>1805</v>
      </c>
    </row>
    <row r="179" spans="1:22" ht="12.75">
      <c r="A179" s="4" t="s">
        <v>197</v>
      </c>
      <c r="L179" s="9">
        <v>1088</v>
      </c>
      <c r="M179" s="9">
        <v>1202</v>
      </c>
      <c r="N179" s="9">
        <v>1024</v>
      </c>
      <c r="O179" s="9">
        <v>1071</v>
      </c>
      <c r="P179" s="9">
        <v>1136</v>
      </c>
      <c r="Q179" s="9">
        <v>1168</v>
      </c>
      <c r="R179" s="9">
        <v>1107</v>
      </c>
      <c r="S179" s="9">
        <v>1035</v>
      </c>
      <c r="T179" s="9">
        <v>1171</v>
      </c>
      <c r="U179" s="9">
        <v>1119</v>
      </c>
      <c r="V179" s="9">
        <v>1204</v>
      </c>
    </row>
    <row r="180" spans="1:22" ht="12.75">
      <c r="A180" s="4" t="s">
        <v>198</v>
      </c>
      <c r="N180" s="9">
        <v>1539</v>
      </c>
      <c r="O180" s="9">
        <v>1596</v>
      </c>
      <c r="P180" s="9">
        <v>1846</v>
      </c>
      <c r="Q180" s="9">
        <v>1803</v>
      </c>
      <c r="R180" s="9">
        <v>1776</v>
      </c>
      <c r="S180" s="9">
        <v>1552</v>
      </c>
      <c r="T180" s="9">
        <v>1655</v>
      </c>
      <c r="U180" s="9">
        <v>1706</v>
      </c>
      <c r="V180" s="9">
        <v>1931</v>
      </c>
    </row>
    <row r="181" spans="1:13" ht="12.75">
      <c r="A181" s="25" t="s">
        <v>303</v>
      </c>
      <c r="L181" s="9">
        <v>3571</v>
      </c>
      <c r="M181" s="9">
        <v>4037</v>
      </c>
    </row>
    <row r="182" spans="1:22" ht="12.75">
      <c r="A182" s="4" t="s">
        <v>199</v>
      </c>
      <c r="N182" s="9">
        <v>1726</v>
      </c>
      <c r="O182" s="9">
        <v>1971</v>
      </c>
      <c r="P182" s="9">
        <v>2293</v>
      </c>
      <c r="Q182" s="9">
        <v>2444</v>
      </c>
      <c r="R182" s="9">
        <v>2899</v>
      </c>
      <c r="S182" s="9">
        <v>2515</v>
      </c>
      <c r="T182" s="9">
        <v>2536</v>
      </c>
      <c r="U182" s="9">
        <v>2637</v>
      </c>
      <c r="V182" s="9">
        <v>3590</v>
      </c>
    </row>
    <row r="183" spans="1:3" ht="12.75">
      <c r="A183" s="25" t="s">
        <v>328</v>
      </c>
      <c r="B183" s="9">
        <v>5468</v>
      </c>
      <c r="C183" s="9">
        <v>5781</v>
      </c>
    </row>
    <row r="184" spans="1:22" ht="12.75">
      <c r="A184" s="25" t="s">
        <v>258</v>
      </c>
      <c r="B184" s="1"/>
      <c r="C184" s="1"/>
      <c r="D184" s="9">
        <v>3678</v>
      </c>
      <c r="E184" s="9">
        <v>3820</v>
      </c>
      <c r="F184" s="9">
        <v>4167</v>
      </c>
      <c r="G184" s="9">
        <f>1232+3044</f>
        <v>4276</v>
      </c>
      <c r="H184" s="9">
        <f>1250+3326</f>
        <v>4576</v>
      </c>
      <c r="I184" s="9">
        <f>1240+3743</f>
        <v>4983</v>
      </c>
      <c r="J184" s="9">
        <f>1350+4026</f>
        <v>5376</v>
      </c>
      <c r="K184" s="9">
        <f>1583+4699</f>
        <v>6282</v>
      </c>
      <c r="L184" s="9">
        <f>L178+L179+L181</f>
        <v>6128</v>
      </c>
      <c r="M184" s="9">
        <f aca="true" t="shared" si="25" ref="M184:V184">SUM(M178:M182)</f>
        <v>6991</v>
      </c>
      <c r="N184" s="9">
        <f t="shared" si="25"/>
        <v>5836</v>
      </c>
      <c r="O184" s="9">
        <f t="shared" si="25"/>
        <v>6345</v>
      </c>
      <c r="P184" s="9">
        <f t="shared" si="25"/>
        <v>6890</v>
      </c>
      <c r="Q184" s="9">
        <f t="shared" si="25"/>
        <v>7064</v>
      </c>
      <c r="R184" s="9">
        <f t="shared" si="25"/>
        <v>7359</v>
      </c>
      <c r="S184" s="9">
        <f t="shared" si="25"/>
        <v>6710</v>
      </c>
      <c r="T184" s="9">
        <f t="shared" si="25"/>
        <v>7093</v>
      </c>
      <c r="U184" s="9">
        <f t="shared" si="25"/>
        <v>7189</v>
      </c>
      <c r="V184" s="9">
        <f t="shared" si="25"/>
        <v>8530</v>
      </c>
    </row>
    <row r="185" spans="1:22" ht="12.75">
      <c r="A185" s="4" t="s">
        <v>248</v>
      </c>
      <c r="B185" s="9">
        <v>1910</v>
      </c>
      <c r="C185" s="9">
        <v>1304</v>
      </c>
      <c r="D185" s="9">
        <v>1437</v>
      </c>
      <c r="E185" s="9">
        <v>1438</v>
      </c>
      <c r="F185" s="9">
        <v>1450</v>
      </c>
      <c r="G185" s="9">
        <v>1414</v>
      </c>
      <c r="H185" s="9">
        <v>1459</v>
      </c>
      <c r="I185" s="9">
        <v>1583</v>
      </c>
      <c r="J185" s="9">
        <v>1581</v>
      </c>
      <c r="K185" s="9">
        <v>1682</v>
      </c>
      <c r="L185" s="9">
        <v>663</v>
      </c>
      <c r="M185" s="9">
        <v>360</v>
      </c>
      <c r="N185" s="9">
        <v>430</v>
      </c>
      <c r="O185" s="9">
        <v>547</v>
      </c>
      <c r="P185" s="9">
        <v>507</v>
      </c>
      <c r="Q185" s="9">
        <v>674</v>
      </c>
      <c r="R185" s="9">
        <v>1041</v>
      </c>
      <c r="S185" s="9">
        <v>1079</v>
      </c>
      <c r="T185" s="9">
        <v>1334</v>
      </c>
      <c r="U185" s="9">
        <v>1261</v>
      </c>
      <c r="V185" s="9">
        <v>993</v>
      </c>
    </row>
    <row r="186" spans="1:22" ht="12.75">
      <c r="A186" s="4" t="s">
        <v>76</v>
      </c>
      <c r="L186" s="9">
        <v>2032</v>
      </c>
      <c r="M186" s="9">
        <v>2065</v>
      </c>
      <c r="N186" s="9">
        <v>2229</v>
      </c>
      <c r="O186" s="9">
        <v>2526</v>
      </c>
      <c r="P186" s="9">
        <v>2414</v>
      </c>
      <c r="Q186" s="9">
        <v>2344</v>
      </c>
      <c r="R186" s="9">
        <v>2171</v>
      </c>
      <c r="S186" s="9">
        <v>2100</v>
      </c>
      <c r="T186" s="9">
        <v>2201</v>
      </c>
      <c r="U186" s="9">
        <v>2218</v>
      </c>
      <c r="V186" s="9">
        <v>2134</v>
      </c>
    </row>
    <row r="187" spans="1:22" ht="25.5">
      <c r="A187" s="27" t="s">
        <v>201</v>
      </c>
      <c r="M187" s="38"/>
      <c r="N187" s="38"/>
      <c r="O187" s="38">
        <v>0.28</v>
      </c>
      <c r="P187" s="38">
        <v>0.29</v>
      </c>
      <c r="Q187" s="38">
        <v>0.29</v>
      </c>
      <c r="R187" s="38">
        <v>0.29</v>
      </c>
      <c r="S187" s="38">
        <v>0.28</v>
      </c>
      <c r="T187" s="38">
        <v>0.29</v>
      </c>
      <c r="U187" s="38">
        <v>0.3</v>
      </c>
      <c r="V187" s="38">
        <v>0.32</v>
      </c>
    </row>
    <row r="188" spans="1:22" ht="25.5">
      <c r="A188" s="27" t="s">
        <v>202</v>
      </c>
      <c r="B188" s="38"/>
      <c r="C188" s="38"/>
      <c r="D188" s="38">
        <v>0.23</v>
      </c>
      <c r="E188" s="38">
        <v>0.24</v>
      </c>
      <c r="F188" s="38">
        <v>0.25</v>
      </c>
      <c r="G188" s="38">
        <v>0.25</v>
      </c>
      <c r="H188" s="38">
        <v>0.26</v>
      </c>
      <c r="I188" s="38">
        <v>0.27</v>
      </c>
      <c r="J188" s="38">
        <v>0.27</v>
      </c>
      <c r="K188" s="38">
        <v>0.29</v>
      </c>
      <c r="L188" s="38">
        <v>0.27</v>
      </c>
      <c r="M188" s="38">
        <v>0.29</v>
      </c>
      <c r="N188" s="38">
        <v>0.27</v>
      </c>
      <c r="O188" s="38">
        <v>0.27</v>
      </c>
      <c r="P188" s="38">
        <v>0.28</v>
      </c>
      <c r="Q188" s="38">
        <v>0.28</v>
      </c>
      <c r="R188" s="38">
        <v>0.27</v>
      </c>
      <c r="S188" s="38">
        <v>0.27</v>
      </c>
      <c r="T188" s="38">
        <v>0.27</v>
      </c>
      <c r="U188" s="38">
        <v>0.28</v>
      </c>
      <c r="V188" s="38">
        <v>0.29</v>
      </c>
    </row>
    <row r="189" spans="1:22" ht="12.75">
      <c r="A189" s="77" t="s">
        <v>148</v>
      </c>
      <c r="B189" s="9">
        <f aca="true" t="shared" si="26" ref="B189:K189">B163-SUM(B168:B186)</f>
        <v>0</v>
      </c>
      <c r="C189" s="9">
        <f t="shared" si="26"/>
        <v>-1</v>
      </c>
      <c r="D189" s="9">
        <f t="shared" si="26"/>
        <v>0</v>
      </c>
      <c r="E189" s="9">
        <f t="shared" si="26"/>
        <v>1</v>
      </c>
      <c r="F189" s="9">
        <f t="shared" si="26"/>
        <v>0</v>
      </c>
      <c r="G189" s="9">
        <f t="shared" si="26"/>
        <v>2</v>
      </c>
      <c r="H189" s="9">
        <f t="shared" si="26"/>
        <v>1</v>
      </c>
      <c r="I189" s="9">
        <f t="shared" si="26"/>
        <v>0</v>
      </c>
      <c r="J189" s="9">
        <f t="shared" si="26"/>
        <v>1</v>
      </c>
      <c r="K189" s="9">
        <f t="shared" si="26"/>
        <v>1</v>
      </c>
      <c r="L189" s="9">
        <f aca="true" t="shared" si="27" ref="L189:V189">L38-SUM(L166:L186)+L168+L174+L177+L184</f>
        <v>2</v>
      </c>
      <c r="M189" s="9">
        <f t="shared" si="27"/>
        <v>0</v>
      </c>
      <c r="N189" s="9">
        <f t="shared" si="27"/>
        <v>-2</v>
      </c>
      <c r="O189" s="9">
        <f t="shared" si="27"/>
        <v>0</v>
      </c>
      <c r="P189" s="9">
        <f t="shared" si="27"/>
        <v>1</v>
      </c>
      <c r="Q189" s="9">
        <f t="shared" si="27"/>
        <v>1</v>
      </c>
      <c r="R189" s="9">
        <f t="shared" si="27"/>
        <v>-1</v>
      </c>
      <c r="S189" s="9">
        <f t="shared" si="27"/>
        <v>1</v>
      </c>
      <c r="T189" s="9">
        <f t="shared" si="27"/>
        <v>-1</v>
      </c>
      <c r="U189" s="9">
        <f t="shared" si="27"/>
        <v>0</v>
      </c>
      <c r="V189" s="9">
        <f t="shared" si="27"/>
        <v>-1</v>
      </c>
    </row>
    <row r="192" spans="1:22" ht="12.75">
      <c r="A192" s="4" t="s">
        <v>253</v>
      </c>
      <c r="R192" s="10"/>
      <c r="S192" s="10"/>
      <c r="T192" s="10"/>
      <c r="U192" s="10"/>
      <c r="V192" s="10"/>
    </row>
    <row r="193" spans="1:29" ht="12.75">
      <c r="A193" s="4" t="s">
        <v>172</v>
      </c>
      <c r="B193" s="14" t="s">
        <v>318</v>
      </c>
      <c r="C193" s="14" t="s">
        <v>318</v>
      </c>
      <c r="D193" s="14" t="s">
        <v>318</v>
      </c>
      <c r="E193" s="14" t="s">
        <v>318</v>
      </c>
      <c r="F193" s="14" t="s">
        <v>318</v>
      </c>
      <c r="G193" s="14" t="s">
        <v>318</v>
      </c>
      <c r="H193" s="14" t="s">
        <v>318</v>
      </c>
      <c r="I193" s="14" t="s">
        <v>318</v>
      </c>
      <c r="J193" s="14" t="s">
        <v>318</v>
      </c>
      <c r="K193" s="14" t="s">
        <v>318</v>
      </c>
      <c r="L193" s="9">
        <v>2030</v>
      </c>
      <c r="M193" s="9">
        <v>1829</v>
      </c>
      <c r="N193" s="9">
        <v>1906</v>
      </c>
      <c r="O193" s="9">
        <v>1505</v>
      </c>
      <c r="P193" s="9">
        <v>1055</v>
      </c>
      <c r="Q193" s="9">
        <v>1049</v>
      </c>
      <c r="R193" s="10">
        <v>1182</v>
      </c>
      <c r="S193" s="10">
        <v>1202</v>
      </c>
      <c r="T193" s="10">
        <v>995</v>
      </c>
      <c r="U193" s="10">
        <v>985</v>
      </c>
      <c r="V193" s="10">
        <v>711</v>
      </c>
      <c r="Y193" s="9">
        <f>M193</f>
        <v>1829</v>
      </c>
      <c r="Z193" s="9">
        <f>N193</f>
        <v>1906</v>
      </c>
      <c r="AA193" s="9">
        <f>O193</f>
        <v>1505</v>
      </c>
      <c r="AB193" s="9">
        <f>P193</f>
        <v>1055</v>
      </c>
      <c r="AC193" s="9">
        <f>Q193</f>
        <v>1049</v>
      </c>
    </row>
    <row r="194" spans="1:29" ht="12.75">
      <c r="A194" s="4" t="s">
        <v>173</v>
      </c>
      <c r="B194" s="14" t="s">
        <v>318</v>
      </c>
      <c r="C194" s="14" t="s">
        <v>318</v>
      </c>
      <c r="D194" s="14" t="s">
        <v>318</v>
      </c>
      <c r="E194" s="14" t="s">
        <v>318</v>
      </c>
      <c r="F194" s="14" t="s">
        <v>318</v>
      </c>
      <c r="G194" s="14" t="s">
        <v>318</v>
      </c>
      <c r="H194" s="14" t="s">
        <v>318</v>
      </c>
      <c r="I194" s="14" t="s">
        <v>318</v>
      </c>
      <c r="J194" s="14" t="s">
        <v>318</v>
      </c>
      <c r="K194" s="14" t="s">
        <v>318</v>
      </c>
      <c r="L194" s="9">
        <v>11070</v>
      </c>
      <c r="M194" s="9">
        <v>10681</v>
      </c>
      <c r="N194" s="9">
        <v>10521</v>
      </c>
      <c r="O194" s="9">
        <v>8987</v>
      </c>
      <c r="P194" s="9">
        <v>7521</v>
      </c>
      <c r="Q194" s="9">
        <v>7269</v>
      </c>
      <c r="R194" s="10">
        <v>7844</v>
      </c>
      <c r="S194" s="10">
        <v>7712</v>
      </c>
      <c r="T194" s="10">
        <v>6058</v>
      </c>
      <c r="U194" s="10">
        <v>5928</v>
      </c>
      <c r="V194" s="10">
        <v>4499</v>
      </c>
      <c r="Y194" s="9">
        <f>Y193+N194</f>
        <v>12350</v>
      </c>
      <c r="Z194" s="9">
        <f>Z193+O194</f>
        <v>10893</v>
      </c>
      <c r="AA194" s="9">
        <f>AA193+P194</f>
        <v>9026</v>
      </c>
      <c r="AB194" s="9">
        <f aca="true" t="shared" si="28" ref="AB194:AB207">AB193+Q194</f>
        <v>8324</v>
      </c>
      <c r="AC194" s="9">
        <f aca="true" t="shared" si="29" ref="AC194:AC207">AC193+R194</f>
        <v>8893</v>
      </c>
    </row>
    <row r="195" spans="1:29" ht="12.75">
      <c r="A195" s="4" t="s">
        <v>252</v>
      </c>
      <c r="B195" s="14" t="s">
        <v>318</v>
      </c>
      <c r="C195" s="14" t="s">
        <v>318</v>
      </c>
      <c r="D195" s="14" t="s">
        <v>318</v>
      </c>
      <c r="E195" s="14" t="s">
        <v>318</v>
      </c>
      <c r="F195" s="14" t="s">
        <v>318</v>
      </c>
      <c r="G195" s="14" t="s">
        <v>318</v>
      </c>
      <c r="H195" s="14" t="s">
        <v>318</v>
      </c>
      <c r="I195" s="14" t="s">
        <v>318</v>
      </c>
      <c r="J195" s="14" t="s">
        <v>318</v>
      </c>
      <c r="K195" s="14" t="s">
        <v>318</v>
      </c>
      <c r="L195" s="9">
        <v>5286</v>
      </c>
      <c r="M195" s="9">
        <v>5217</v>
      </c>
      <c r="N195" s="9">
        <v>5138</v>
      </c>
      <c r="O195" s="9">
        <v>4549</v>
      </c>
      <c r="P195" s="9">
        <v>4437</v>
      </c>
      <c r="Q195" s="9">
        <v>4675</v>
      </c>
      <c r="R195" s="10">
        <v>5067</v>
      </c>
      <c r="S195" s="10">
        <v>5221</v>
      </c>
      <c r="T195" s="10">
        <v>4448</v>
      </c>
      <c r="U195" s="10">
        <v>4171</v>
      </c>
      <c r="V195" s="10">
        <v>3539</v>
      </c>
      <c r="Y195" s="9">
        <f aca="true" t="shared" si="30" ref="Y195:Y207">Y194+N195</f>
        <v>17488</v>
      </c>
      <c r="Z195" s="9">
        <f aca="true" t="shared" si="31" ref="Z195:Z207">Z194+O195</f>
        <v>15442</v>
      </c>
      <c r="AA195" s="9">
        <f aca="true" t="shared" si="32" ref="AA195:AA207">AA194+P195</f>
        <v>13463</v>
      </c>
      <c r="AB195" s="9">
        <f t="shared" si="28"/>
        <v>12999</v>
      </c>
      <c r="AC195" s="9">
        <f t="shared" si="29"/>
        <v>13960</v>
      </c>
    </row>
    <row r="196" spans="1:29" ht="12.75">
      <c r="A196" s="4" t="s">
        <v>175</v>
      </c>
      <c r="B196" s="14" t="s">
        <v>318</v>
      </c>
      <c r="C196" s="14" t="s">
        <v>318</v>
      </c>
      <c r="D196" s="14" t="s">
        <v>318</v>
      </c>
      <c r="E196" s="14" t="s">
        <v>318</v>
      </c>
      <c r="F196" s="14" t="s">
        <v>318</v>
      </c>
      <c r="G196" s="14" t="s">
        <v>318</v>
      </c>
      <c r="H196" s="14" t="s">
        <v>318</v>
      </c>
      <c r="I196" s="14" t="s">
        <v>318</v>
      </c>
      <c r="J196" s="14" t="s">
        <v>318</v>
      </c>
      <c r="K196" s="14" t="s">
        <v>318</v>
      </c>
      <c r="L196" s="9">
        <v>4116</v>
      </c>
      <c r="M196" s="9">
        <v>4011</v>
      </c>
      <c r="N196" s="9">
        <v>3808</v>
      </c>
      <c r="O196" s="9">
        <v>3828</v>
      </c>
      <c r="P196" s="9">
        <v>3818</v>
      </c>
      <c r="Q196" s="9">
        <v>4034</v>
      </c>
      <c r="R196" s="10">
        <v>4796</v>
      </c>
      <c r="S196" s="10">
        <v>4675</v>
      </c>
      <c r="T196" s="10">
        <v>4132</v>
      </c>
      <c r="U196" s="10">
        <v>3983</v>
      </c>
      <c r="V196" s="10">
        <v>3677</v>
      </c>
      <c r="Y196" s="9">
        <f t="shared" si="30"/>
        <v>21296</v>
      </c>
      <c r="Z196" s="9">
        <f t="shared" si="31"/>
        <v>19270</v>
      </c>
      <c r="AA196" s="9">
        <f t="shared" si="32"/>
        <v>17281</v>
      </c>
      <c r="AB196" s="9">
        <f t="shared" si="28"/>
        <v>17033</v>
      </c>
      <c r="AC196" s="9">
        <f t="shared" si="29"/>
        <v>18756</v>
      </c>
    </row>
    <row r="197" spans="1:29" ht="12.75">
      <c r="A197" s="4" t="s">
        <v>176</v>
      </c>
      <c r="B197" s="14" t="s">
        <v>318</v>
      </c>
      <c r="C197" s="14" t="s">
        <v>318</v>
      </c>
      <c r="D197" s="14" t="s">
        <v>318</v>
      </c>
      <c r="E197" s="14" t="s">
        <v>318</v>
      </c>
      <c r="F197" s="14" t="s">
        <v>318</v>
      </c>
      <c r="G197" s="14" t="s">
        <v>318</v>
      </c>
      <c r="H197" s="14" t="s">
        <v>318</v>
      </c>
      <c r="I197" s="14" t="s">
        <v>318</v>
      </c>
      <c r="J197" s="14" t="s">
        <v>318</v>
      </c>
      <c r="K197" s="14" t="s">
        <v>318</v>
      </c>
      <c r="L197" s="9">
        <v>3481</v>
      </c>
      <c r="M197" s="9">
        <v>3361</v>
      </c>
      <c r="N197" s="9">
        <v>3075</v>
      </c>
      <c r="O197" s="9">
        <v>3110</v>
      </c>
      <c r="P197" s="9">
        <v>3214</v>
      </c>
      <c r="Q197" s="9">
        <v>3375</v>
      </c>
      <c r="R197" s="10">
        <v>3669</v>
      </c>
      <c r="S197" s="10">
        <v>3588</v>
      </c>
      <c r="T197" s="10">
        <v>3749</v>
      </c>
      <c r="U197" s="10">
        <v>3591</v>
      </c>
      <c r="V197" s="10">
        <v>3488</v>
      </c>
      <c r="Y197" s="9">
        <f t="shared" si="30"/>
        <v>24371</v>
      </c>
      <c r="Z197" s="9">
        <f t="shared" si="31"/>
        <v>22380</v>
      </c>
      <c r="AA197" s="9">
        <f t="shared" si="32"/>
        <v>20495</v>
      </c>
      <c r="AB197" s="9">
        <f t="shared" si="28"/>
        <v>20408</v>
      </c>
      <c r="AC197" s="9">
        <f t="shared" si="29"/>
        <v>22425</v>
      </c>
    </row>
    <row r="198" spans="1:29" ht="12.75">
      <c r="A198" s="4" t="s">
        <v>177</v>
      </c>
      <c r="B198" s="14" t="s">
        <v>318</v>
      </c>
      <c r="C198" s="14" t="s">
        <v>318</v>
      </c>
      <c r="D198" s="14" t="s">
        <v>318</v>
      </c>
      <c r="E198" s="14" t="s">
        <v>318</v>
      </c>
      <c r="F198" s="14" t="s">
        <v>318</v>
      </c>
      <c r="G198" s="14" t="s">
        <v>318</v>
      </c>
      <c r="H198" s="14" t="s">
        <v>318</v>
      </c>
      <c r="I198" s="14" t="s">
        <v>318</v>
      </c>
      <c r="J198" s="14" t="s">
        <v>318</v>
      </c>
      <c r="K198" s="14" t="s">
        <v>318</v>
      </c>
      <c r="L198" s="9">
        <v>3002</v>
      </c>
      <c r="M198" s="9">
        <v>2990</v>
      </c>
      <c r="N198" s="9">
        <v>2758</v>
      </c>
      <c r="O198" s="9">
        <v>2651</v>
      </c>
      <c r="P198" s="9">
        <v>2583</v>
      </c>
      <c r="Q198" s="9">
        <v>2985</v>
      </c>
      <c r="R198" s="10">
        <v>3267</v>
      </c>
      <c r="S198" s="10">
        <v>3170</v>
      </c>
      <c r="T198" s="10">
        <v>3101</v>
      </c>
      <c r="U198" s="10">
        <v>2902</v>
      </c>
      <c r="V198" s="10">
        <v>3275</v>
      </c>
      <c r="Y198" s="9">
        <f t="shared" si="30"/>
        <v>27129</v>
      </c>
      <c r="Z198" s="9">
        <f t="shared" si="31"/>
        <v>25031</v>
      </c>
      <c r="AA198" s="9">
        <f t="shared" si="32"/>
        <v>23078</v>
      </c>
      <c r="AB198" s="9">
        <f t="shared" si="28"/>
        <v>23393</v>
      </c>
      <c r="AC198" s="9">
        <f t="shared" si="29"/>
        <v>25692</v>
      </c>
    </row>
    <row r="199" spans="1:29" ht="12.75">
      <c r="A199" s="4" t="s">
        <v>184</v>
      </c>
      <c r="B199" s="14" t="s">
        <v>318</v>
      </c>
      <c r="C199" s="14" t="s">
        <v>318</v>
      </c>
      <c r="D199" s="14" t="s">
        <v>318</v>
      </c>
      <c r="E199" s="14" t="s">
        <v>318</v>
      </c>
      <c r="F199" s="14" t="s">
        <v>318</v>
      </c>
      <c r="G199" s="14" t="s">
        <v>318</v>
      </c>
      <c r="H199" s="14" t="s">
        <v>318</v>
      </c>
      <c r="I199" s="14" t="s">
        <v>318</v>
      </c>
      <c r="J199" s="14" t="s">
        <v>318</v>
      </c>
      <c r="K199" s="14" t="s">
        <v>318</v>
      </c>
      <c r="L199" s="9">
        <v>2840</v>
      </c>
      <c r="M199" s="9">
        <v>2667</v>
      </c>
      <c r="N199" s="9">
        <v>2462</v>
      </c>
      <c r="O199" s="9">
        <v>2435</v>
      </c>
      <c r="P199" s="9">
        <v>2456</v>
      </c>
      <c r="Q199" s="9">
        <v>2702</v>
      </c>
      <c r="R199" s="10">
        <v>2896</v>
      </c>
      <c r="S199" s="10">
        <v>2676</v>
      </c>
      <c r="T199" s="10">
        <v>2570</v>
      </c>
      <c r="U199" s="10">
        <v>2837</v>
      </c>
      <c r="V199" s="10">
        <v>2719</v>
      </c>
      <c r="Y199" s="9">
        <f t="shared" si="30"/>
        <v>29591</v>
      </c>
      <c r="Z199" s="9">
        <f t="shared" si="31"/>
        <v>27466</v>
      </c>
      <c r="AA199" s="9">
        <f t="shared" si="32"/>
        <v>25534</v>
      </c>
      <c r="AB199" s="9">
        <f t="shared" si="28"/>
        <v>26095</v>
      </c>
      <c r="AC199" s="9">
        <f t="shared" si="29"/>
        <v>28588</v>
      </c>
    </row>
    <row r="200" spans="1:29" ht="12.75">
      <c r="A200" s="4" t="s">
        <v>185</v>
      </c>
      <c r="B200" s="14" t="s">
        <v>318</v>
      </c>
      <c r="C200" s="14" t="s">
        <v>318</v>
      </c>
      <c r="D200" s="14" t="s">
        <v>318</v>
      </c>
      <c r="E200" s="14" t="s">
        <v>318</v>
      </c>
      <c r="F200" s="14" t="s">
        <v>318</v>
      </c>
      <c r="G200" s="14" t="s">
        <v>318</v>
      </c>
      <c r="H200" s="14" t="s">
        <v>318</v>
      </c>
      <c r="I200" s="14" t="s">
        <v>318</v>
      </c>
      <c r="J200" s="14" t="s">
        <v>318</v>
      </c>
      <c r="K200" s="14" t="s">
        <v>318</v>
      </c>
      <c r="L200" s="9">
        <v>2493</v>
      </c>
      <c r="M200" s="9">
        <v>2408</v>
      </c>
      <c r="N200" s="9">
        <v>2307</v>
      </c>
      <c r="O200" s="9">
        <v>2337</v>
      </c>
      <c r="P200" s="9">
        <v>2302</v>
      </c>
      <c r="Q200" s="9">
        <v>2566</v>
      </c>
      <c r="R200" s="10">
        <v>2472</v>
      </c>
      <c r="S200" s="10">
        <v>2420</v>
      </c>
      <c r="T200" s="10">
        <v>2576</v>
      </c>
      <c r="U200" s="10">
        <v>2354</v>
      </c>
      <c r="V200" s="10">
        <v>2377</v>
      </c>
      <c r="Y200" s="9">
        <f t="shared" si="30"/>
        <v>31898</v>
      </c>
      <c r="Z200" s="9">
        <f t="shared" si="31"/>
        <v>29803</v>
      </c>
      <c r="AA200" s="9">
        <f t="shared" si="32"/>
        <v>27836</v>
      </c>
      <c r="AB200" s="9">
        <f t="shared" si="28"/>
        <v>28661</v>
      </c>
      <c r="AC200" s="9">
        <f t="shared" si="29"/>
        <v>31060</v>
      </c>
    </row>
    <row r="201" spans="1:29" ht="12.75">
      <c r="A201" s="4" t="s">
        <v>178</v>
      </c>
      <c r="B201" s="14" t="s">
        <v>318</v>
      </c>
      <c r="C201" s="14" t="s">
        <v>318</v>
      </c>
      <c r="D201" s="14" t="s">
        <v>318</v>
      </c>
      <c r="E201" s="14" t="s">
        <v>318</v>
      </c>
      <c r="F201" s="14" t="s">
        <v>318</v>
      </c>
      <c r="G201" s="14" t="s">
        <v>318</v>
      </c>
      <c r="H201" s="14" t="s">
        <v>318</v>
      </c>
      <c r="I201" s="14" t="s">
        <v>318</v>
      </c>
      <c r="J201" s="14" t="s">
        <v>318</v>
      </c>
      <c r="K201" s="14" t="s">
        <v>318</v>
      </c>
      <c r="L201" s="9">
        <v>4260</v>
      </c>
      <c r="M201" s="9">
        <v>4413</v>
      </c>
      <c r="N201" s="9">
        <v>4144</v>
      </c>
      <c r="O201" s="9">
        <v>4066</v>
      </c>
      <c r="P201" s="9">
        <v>4478</v>
      </c>
      <c r="Q201" s="9">
        <v>4921</v>
      </c>
      <c r="R201" s="10">
        <v>4612</v>
      </c>
      <c r="S201" s="10">
        <v>4593</v>
      </c>
      <c r="T201" s="10">
        <v>4856</v>
      </c>
      <c r="U201" s="10">
        <v>4414</v>
      </c>
      <c r="V201" s="10">
        <v>4704</v>
      </c>
      <c r="Y201" s="9">
        <f t="shared" si="30"/>
        <v>36042</v>
      </c>
      <c r="Z201" s="9">
        <f t="shared" si="31"/>
        <v>33869</v>
      </c>
      <c r="AA201" s="9">
        <f t="shared" si="32"/>
        <v>32314</v>
      </c>
      <c r="AB201" s="9">
        <f t="shared" si="28"/>
        <v>33582</v>
      </c>
      <c r="AC201" s="9">
        <f t="shared" si="29"/>
        <v>35672</v>
      </c>
    </row>
    <row r="202" spans="1:29" ht="12.75">
      <c r="A202" s="4" t="s">
        <v>179</v>
      </c>
      <c r="B202" s="14" t="s">
        <v>318</v>
      </c>
      <c r="C202" s="14" t="s">
        <v>318</v>
      </c>
      <c r="D202" s="14" t="s">
        <v>318</v>
      </c>
      <c r="E202" s="14" t="s">
        <v>318</v>
      </c>
      <c r="F202" s="14" t="s">
        <v>318</v>
      </c>
      <c r="G202" s="14" t="s">
        <v>318</v>
      </c>
      <c r="H202" s="14" t="s">
        <v>318</v>
      </c>
      <c r="I202" s="14" t="s">
        <v>318</v>
      </c>
      <c r="J202" s="14" t="s">
        <v>318</v>
      </c>
      <c r="K202" s="14" t="s">
        <v>318</v>
      </c>
      <c r="L202" s="9">
        <v>3171</v>
      </c>
      <c r="M202" s="9">
        <v>3460</v>
      </c>
      <c r="N202" s="9">
        <v>3423</v>
      </c>
      <c r="O202" s="9">
        <v>3614</v>
      </c>
      <c r="P202" s="9">
        <v>4015</v>
      </c>
      <c r="Q202" s="9">
        <v>4356</v>
      </c>
      <c r="R202" s="10">
        <v>4251</v>
      </c>
      <c r="S202" s="10">
        <v>4215</v>
      </c>
      <c r="T202" s="10">
        <v>4261</v>
      </c>
      <c r="U202" s="10">
        <v>4219</v>
      </c>
      <c r="V202" s="10">
        <v>4192</v>
      </c>
      <c r="Y202" s="9">
        <f t="shared" si="30"/>
        <v>39465</v>
      </c>
      <c r="Z202" s="9">
        <f t="shared" si="31"/>
        <v>37483</v>
      </c>
      <c r="AA202" s="9">
        <f t="shared" si="32"/>
        <v>36329</v>
      </c>
      <c r="AB202" s="9">
        <f t="shared" si="28"/>
        <v>37938</v>
      </c>
      <c r="AC202" s="9">
        <f t="shared" si="29"/>
        <v>39923</v>
      </c>
    </row>
    <row r="203" spans="1:29" ht="12.75">
      <c r="A203" s="4" t="s">
        <v>180</v>
      </c>
      <c r="B203" s="14" t="s">
        <v>318</v>
      </c>
      <c r="C203" s="14" t="s">
        <v>318</v>
      </c>
      <c r="D203" s="14" t="s">
        <v>318</v>
      </c>
      <c r="E203" s="14" t="s">
        <v>318</v>
      </c>
      <c r="F203" s="14" t="s">
        <v>318</v>
      </c>
      <c r="G203" s="14" t="s">
        <v>318</v>
      </c>
      <c r="H203" s="14" t="s">
        <v>318</v>
      </c>
      <c r="I203" s="14" t="s">
        <v>318</v>
      </c>
      <c r="J203" s="14" t="s">
        <v>318</v>
      </c>
      <c r="K203" s="14" t="s">
        <v>318</v>
      </c>
      <c r="L203" s="9">
        <v>2546</v>
      </c>
      <c r="M203" s="9">
        <v>2793</v>
      </c>
      <c r="N203" s="9">
        <v>3096</v>
      </c>
      <c r="O203" s="9">
        <v>3157</v>
      </c>
      <c r="P203" s="9">
        <v>3479</v>
      </c>
      <c r="Q203" s="9">
        <v>4142</v>
      </c>
      <c r="R203" s="10">
        <v>3792</v>
      </c>
      <c r="S203" s="10">
        <v>4071</v>
      </c>
      <c r="T203" s="10">
        <v>4110</v>
      </c>
      <c r="U203" s="10">
        <v>4121</v>
      </c>
      <c r="V203" s="10">
        <v>3933</v>
      </c>
      <c r="Y203" s="9">
        <f t="shared" si="30"/>
        <v>42561</v>
      </c>
      <c r="Z203" s="9">
        <f t="shared" si="31"/>
        <v>40640</v>
      </c>
      <c r="AA203" s="9">
        <f t="shared" si="32"/>
        <v>39808</v>
      </c>
      <c r="AB203" s="9">
        <f t="shared" si="28"/>
        <v>42080</v>
      </c>
      <c r="AC203" s="9">
        <f t="shared" si="29"/>
        <v>43715</v>
      </c>
    </row>
    <row r="204" spans="1:29" ht="12.75">
      <c r="A204" s="4" t="s">
        <v>181</v>
      </c>
      <c r="B204" s="14" t="s">
        <v>318</v>
      </c>
      <c r="C204" s="14" t="s">
        <v>318</v>
      </c>
      <c r="D204" s="14" t="s">
        <v>318</v>
      </c>
      <c r="E204" s="14" t="s">
        <v>318</v>
      </c>
      <c r="F204" s="14" t="s">
        <v>318</v>
      </c>
      <c r="G204" s="14" t="s">
        <v>318</v>
      </c>
      <c r="H204" s="14" t="s">
        <v>318</v>
      </c>
      <c r="I204" s="14" t="s">
        <v>318</v>
      </c>
      <c r="J204" s="14" t="s">
        <v>318</v>
      </c>
      <c r="K204" s="14" t="s">
        <v>318</v>
      </c>
      <c r="L204" s="9">
        <v>3127</v>
      </c>
      <c r="M204" s="9">
        <v>3808</v>
      </c>
      <c r="N204" s="9">
        <v>4181</v>
      </c>
      <c r="O204" s="9">
        <v>4856</v>
      </c>
      <c r="P204" s="9">
        <v>5480</v>
      </c>
      <c r="Q204" s="9">
        <v>6684</v>
      </c>
      <c r="R204" s="10">
        <v>6402</v>
      </c>
      <c r="S204" s="10">
        <v>7205</v>
      </c>
      <c r="T204" s="10">
        <v>7813</v>
      </c>
      <c r="U204" s="10">
        <v>7399</v>
      </c>
      <c r="V204" s="10">
        <v>7632</v>
      </c>
      <c r="Y204" s="9">
        <f t="shared" si="30"/>
        <v>46742</v>
      </c>
      <c r="Z204" s="9">
        <f t="shared" si="31"/>
        <v>45496</v>
      </c>
      <c r="AA204" s="9">
        <f t="shared" si="32"/>
        <v>45288</v>
      </c>
      <c r="AB204" s="9">
        <f t="shared" si="28"/>
        <v>48764</v>
      </c>
      <c r="AC204" s="9">
        <f t="shared" si="29"/>
        <v>50117</v>
      </c>
    </row>
    <row r="205" spans="1:29" ht="12.75">
      <c r="A205" s="4" t="s">
        <v>182</v>
      </c>
      <c r="B205" s="14" t="s">
        <v>318</v>
      </c>
      <c r="C205" s="14" t="s">
        <v>318</v>
      </c>
      <c r="D205" s="14" t="s">
        <v>318</v>
      </c>
      <c r="E205" s="14" t="s">
        <v>318</v>
      </c>
      <c r="F205" s="14" t="s">
        <v>318</v>
      </c>
      <c r="G205" s="14" t="s">
        <v>318</v>
      </c>
      <c r="H205" s="14" t="s">
        <v>318</v>
      </c>
      <c r="I205" s="14" t="s">
        <v>318</v>
      </c>
      <c r="J205" s="14" t="s">
        <v>318</v>
      </c>
      <c r="K205" s="14" t="s">
        <v>318</v>
      </c>
      <c r="L205" s="9">
        <v>1979</v>
      </c>
      <c r="M205" s="9">
        <v>2566</v>
      </c>
      <c r="N205" s="9">
        <v>3046</v>
      </c>
      <c r="O205" s="9">
        <v>3599</v>
      </c>
      <c r="P205" s="9">
        <v>4292</v>
      </c>
      <c r="Q205" s="9">
        <v>5477</v>
      </c>
      <c r="R205" s="10">
        <v>5249</v>
      </c>
      <c r="S205" s="10">
        <v>6166</v>
      </c>
      <c r="T205" s="10">
        <v>7214</v>
      </c>
      <c r="U205" s="10">
        <v>7381</v>
      </c>
      <c r="V205" s="10">
        <v>8031</v>
      </c>
      <c r="Y205" s="9">
        <f t="shared" si="30"/>
        <v>49788</v>
      </c>
      <c r="Z205" s="9">
        <f t="shared" si="31"/>
        <v>49095</v>
      </c>
      <c r="AA205" s="9">
        <f t="shared" si="32"/>
        <v>49580</v>
      </c>
      <c r="AB205" s="9">
        <f t="shared" si="28"/>
        <v>54241</v>
      </c>
      <c r="AC205" s="9">
        <f t="shared" si="29"/>
        <v>55366</v>
      </c>
    </row>
    <row r="206" spans="1:29" ht="12.75">
      <c r="A206" s="4" t="s">
        <v>183</v>
      </c>
      <c r="B206" s="14" t="s">
        <v>318</v>
      </c>
      <c r="C206" s="14" t="s">
        <v>318</v>
      </c>
      <c r="D206" s="14" t="s">
        <v>318</v>
      </c>
      <c r="E206" s="14" t="s">
        <v>318</v>
      </c>
      <c r="F206" s="14" t="s">
        <v>318</v>
      </c>
      <c r="G206" s="14" t="s">
        <v>318</v>
      </c>
      <c r="H206" s="14" t="s">
        <v>318</v>
      </c>
      <c r="I206" s="14" t="s">
        <v>318</v>
      </c>
      <c r="J206" s="14" t="s">
        <v>318</v>
      </c>
      <c r="K206" s="14" t="s">
        <v>318</v>
      </c>
      <c r="L206" s="9">
        <v>1003</v>
      </c>
      <c r="M206" s="9">
        <v>1345</v>
      </c>
      <c r="N206" s="9">
        <v>1732</v>
      </c>
      <c r="O206" s="9">
        <v>2162</v>
      </c>
      <c r="P206" s="9">
        <v>2665</v>
      </c>
      <c r="Q206" s="9">
        <v>3518</v>
      </c>
      <c r="R206" s="10">
        <v>3602</v>
      </c>
      <c r="S206" s="10">
        <v>4240</v>
      </c>
      <c r="T206" s="10">
        <v>5245</v>
      </c>
      <c r="U206" s="10">
        <v>5462</v>
      </c>
      <c r="V206" s="10">
        <v>6184</v>
      </c>
      <c r="Y206" s="9">
        <f t="shared" si="30"/>
        <v>51520</v>
      </c>
      <c r="Z206" s="9">
        <f t="shared" si="31"/>
        <v>51257</v>
      </c>
      <c r="AA206" s="9">
        <f t="shared" si="32"/>
        <v>52245</v>
      </c>
      <c r="AB206" s="9">
        <f t="shared" si="28"/>
        <v>57759</v>
      </c>
      <c r="AC206" s="9">
        <f t="shared" si="29"/>
        <v>58968</v>
      </c>
    </row>
    <row r="207" spans="1:29" ht="12.75">
      <c r="A207" s="4" t="s">
        <v>186</v>
      </c>
      <c r="B207" s="14" t="s">
        <v>318</v>
      </c>
      <c r="C207" s="14" t="s">
        <v>318</v>
      </c>
      <c r="D207" s="14" t="s">
        <v>318</v>
      </c>
      <c r="E207" s="14" t="s">
        <v>318</v>
      </c>
      <c r="F207" s="14" t="s">
        <v>318</v>
      </c>
      <c r="G207" s="14" t="s">
        <v>318</v>
      </c>
      <c r="H207" s="14" t="s">
        <v>318</v>
      </c>
      <c r="I207" s="14" t="s">
        <v>318</v>
      </c>
      <c r="J207" s="14" t="s">
        <v>318</v>
      </c>
      <c r="K207" s="14" t="s">
        <v>318</v>
      </c>
      <c r="L207" s="9">
        <v>1241</v>
      </c>
      <c r="M207" s="9">
        <v>1597</v>
      </c>
      <c r="N207" s="9">
        <v>2643</v>
      </c>
      <c r="O207" s="9">
        <v>3746</v>
      </c>
      <c r="P207" s="9">
        <v>3946</v>
      </c>
      <c r="Q207" s="9">
        <v>5791</v>
      </c>
      <c r="R207" s="10">
        <v>6386</v>
      </c>
      <c r="S207" s="10">
        <v>7642</v>
      </c>
      <c r="T207" s="10">
        <v>11137</v>
      </c>
      <c r="U207" s="10">
        <v>12492</v>
      </c>
      <c r="V207" s="10">
        <v>15971</v>
      </c>
      <c r="Y207" s="9">
        <f t="shared" si="30"/>
        <v>54163</v>
      </c>
      <c r="Z207" s="9">
        <f t="shared" si="31"/>
        <v>55003</v>
      </c>
      <c r="AA207" s="9">
        <f t="shared" si="32"/>
        <v>56191</v>
      </c>
      <c r="AB207" s="9">
        <f t="shared" si="28"/>
        <v>63550</v>
      </c>
      <c r="AC207" s="9">
        <f t="shared" si="29"/>
        <v>65354</v>
      </c>
    </row>
    <row r="208" spans="1:29" ht="12.75">
      <c r="A208" s="4" t="s">
        <v>304</v>
      </c>
      <c r="B208" s="14" t="s">
        <v>318</v>
      </c>
      <c r="C208" s="14" t="s">
        <v>318</v>
      </c>
      <c r="D208" s="14" t="s">
        <v>318</v>
      </c>
      <c r="E208" s="14" t="s">
        <v>318</v>
      </c>
      <c r="F208" s="14" t="s">
        <v>318</v>
      </c>
      <c r="G208" s="14" t="s">
        <v>318</v>
      </c>
      <c r="H208" s="14" t="s">
        <v>318</v>
      </c>
      <c r="I208" s="14" t="s">
        <v>318</v>
      </c>
      <c r="J208" s="14" t="s">
        <v>318</v>
      </c>
      <c r="K208" s="14" t="s">
        <v>318</v>
      </c>
      <c r="L208" s="9">
        <v>4502</v>
      </c>
      <c r="M208" s="9">
        <v>5019</v>
      </c>
      <c r="N208" s="9">
        <v>5676</v>
      </c>
      <c r="O208" s="9">
        <v>5192</v>
      </c>
      <c r="P208" s="9">
        <v>5512</v>
      </c>
      <c r="R208" s="10"/>
      <c r="S208" s="10"/>
      <c r="T208" s="10"/>
      <c r="U208" s="10"/>
      <c r="V208" s="10"/>
      <c r="Y208" s="9">
        <f>Y207/2</f>
        <v>27081.5</v>
      </c>
      <c r="Z208" s="9">
        <f>Z207/2</f>
        <v>27501.5</v>
      </c>
      <c r="AA208" s="9">
        <f>AA207/2</f>
        <v>28095.5</v>
      </c>
      <c r="AB208" s="9">
        <f>AB207/2</f>
        <v>31775</v>
      </c>
      <c r="AC208" s="9">
        <f>AC207/2</f>
        <v>32677</v>
      </c>
    </row>
    <row r="209" spans="1:29" ht="12.75">
      <c r="A209" s="4" t="s">
        <v>251</v>
      </c>
      <c r="B209" s="14" t="s">
        <v>318</v>
      </c>
      <c r="C209" s="14" t="s">
        <v>318</v>
      </c>
      <c r="D209" s="14" t="s">
        <v>318</v>
      </c>
      <c r="E209" s="14" t="s">
        <v>318</v>
      </c>
      <c r="F209" s="14" t="s">
        <v>318</v>
      </c>
      <c r="G209" s="14" t="s">
        <v>318</v>
      </c>
      <c r="H209" s="14" t="s">
        <v>318</v>
      </c>
      <c r="I209" s="14" t="s">
        <v>318</v>
      </c>
      <c r="J209" s="14" t="s">
        <v>318</v>
      </c>
      <c r="K209" s="14" t="s">
        <v>318</v>
      </c>
      <c r="R209" s="10"/>
      <c r="S209" s="10"/>
      <c r="T209" s="10"/>
      <c r="U209" s="10"/>
      <c r="V209" s="10"/>
      <c r="Y209" s="9">
        <f>325+50*(Y208-Y197)/(Y197-Y196)</f>
        <v>369.0731707317073</v>
      </c>
      <c r="Z209" s="9">
        <f>325+50*(Z208-Z197)/(Z197-Z196)</f>
        <v>407.3392282958199</v>
      </c>
      <c r="AA209" s="9">
        <f>450+50*(AA208-AA200)/(AA201-AA200)</f>
        <v>452.8974988834301</v>
      </c>
      <c r="AB209" s="9">
        <f>475+50*(AB208-AB200)/(AB201-AB200)</f>
        <v>506.639910587279</v>
      </c>
      <c r="AC209" s="9">
        <f>475+50*(AC208-AC200)/(AC201-AC200)</f>
        <v>492.53035559410233</v>
      </c>
    </row>
    <row r="210" spans="1:29" ht="12.75">
      <c r="A210" s="4" t="s">
        <v>86</v>
      </c>
      <c r="B210" s="14" t="s">
        <v>318</v>
      </c>
      <c r="C210" s="14" t="s">
        <v>318</v>
      </c>
      <c r="D210" s="14" t="s">
        <v>318</v>
      </c>
      <c r="E210" s="14" t="s">
        <v>318</v>
      </c>
      <c r="F210" s="14" t="s">
        <v>318</v>
      </c>
      <c r="G210" s="14" t="s">
        <v>318</v>
      </c>
      <c r="H210" s="14" t="s">
        <v>318</v>
      </c>
      <c r="I210" s="14" t="s">
        <v>318</v>
      </c>
      <c r="J210" s="14" t="s">
        <v>318</v>
      </c>
      <c r="K210" s="14" t="s">
        <v>318</v>
      </c>
      <c r="L210" s="37">
        <v>348</v>
      </c>
      <c r="M210" s="37">
        <v>375</v>
      </c>
      <c r="N210" s="37"/>
      <c r="O210" s="37">
        <v>455</v>
      </c>
      <c r="P210" s="37">
        <v>511</v>
      </c>
      <c r="Q210" s="37">
        <v>563</v>
      </c>
      <c r="R210" s="39">
        <v>534</v>
      </c>
      <c r="S210" s="39">
        <v>581</v>
      </c>
      <c r="T210" s="39">
        <v>686</v>
      </c>
      <c r="U210" s="39">
        <v>718</v>
      </c>
      <c r="V210" s="39">
        <v>809</v>
      </c>
      <c r="Y210" s="37">
        <v>375</v>
      </c>
      <c r="Z210" s="37"/>
      <c r="AA210" s="37">
        <v>455</v>
      </c>
      <c r="AB210" s="37">
        <v>511</v>
      </c>
      <c r="AC210" s="37">
        <v>563</v>
      </c>
    </row>
    <row r="211" spans="1:22" ht="12.75">
      <c r="A211" s="77" t="s">
        <v>148</v>
      </c>
      <c r="B211" s="9">
        <f aca="true" t="shared" si="33" ref="B211:K211">SUM(B193:B209)</f>
        <v>0</v>
      </c>
      <c r="C211" s="9">
        <f t="shared" si="33"/>
        <v>0</v>
      </c>
      <c r="D211" s="9">
        <f t="shared" si="33"/>
        <v>0</v>
      </c>
      <c r="E211" s="9">
        <f t="shared" si="33"/>
        <v>0</v>
      </c>
      <c r="F211" s="9">
        <f t="shared" si="33"/>
        <v>0</v>
      </c>
      <c r="G211" s="9">
        <f t="shared" si="33"/>
        <v>0</v>
      </c>
      <c r="H211" s="9">
        <f t="shared" si="33"/>
        <v>0</v>
      </c>
      <c r="I211" s="9">
        <f t="shared" si="33"/>
        <v>0</v>
      </c>
      <c r="J211" s="9">
        <f t="shared" si="33"/>
        <v>0</v>
      </c>
      <c r="K211" s="9">
        <f t="shared" si="33"/>
        <v>0</v>
      </c>
      <c r="L211" s="10">
        <f>L37-SUM(L193:L207)-L208</f>
        <v>-2</v>
      </c>
      <c r="M211" s="10">
        <f>M37-SUM(M193:M208)</f>
        <v>-1</v>
      </c>
      <c r="N211" s="10">
        <f>N37-SUM(N193:N208)</f>
        <v>0</v>
      </c>
      <c r="O211" s="10">
        <f>O37-SUM(O193:O208)</f>
        <v>2</v>
      </c>
      <c r="P211" s="10">
        <f>P37-SUM(P193:P208)</f>
        <v>-1</v>
      </c>
      <c r="Q211" s="10">
        <f aca="true" t="shared" si="34" ref="Q211:V211">Q37-SUM(Q193:Q207)</f>
        <v>0</v>
      </c>
      <c r="R211" s="10">
        <f t="shared" si="34"/>
        <v>0</v>
      </c>
      <c r="S211" s="10">
        <f t="shared" si="34"/>
        <v>0</v>
      </c>
      <c r="T211" s="10">
        <f t="shared" si="34"/>
        <v>0</v>
      </c>
      <c r="U211" s="10">
        <f t="shared" si="34"/>
        <v>-1</v>
      </c>
      <c r="V211" s="10">
        <f t="shared" si="34"/>
        <v>-1</v>
      </c>
    </row>
    <row r="212" spans="1:22" ht="12.75">
      <c r="A212" s="4"/>
      <c r="R212" s="10"/>
      <c r="S212" s="10"/>
      <c r="T212" s="10"/>
      <c r="U212" s="10"/>
      <c r="V212" s="10"/>
    </row>
    <row r="213" spans="1:22" ht="12.75">
      <c r="A213" s="4" t="s">
        <v>203</v>
      </c>
      <c r="R213" s="10"/>
      <c r="S213" s="10"/>
      <c r="T213" s="10"/>
      <c r="U213" s="10"/>
      <c r="V213" s="10"/>
    </row>
    <row r="214" spans="1:22" ht="12.75">
      <c r="A214" s="4" t="s">
        <v>188</v>
      </c>
      <c r="B214" s="14" t="s">
        <v>242</v>
      </c>
      <c r="C214" s="9">
        <f>156+1358</f>
        <v>1514</v>
      </c>
      <c r="D214" s="50">
        <f>123+1274</f>
        <v>1397</v>
      </c>
      <c r="E214" s="9">
        <f>113+1175</f>
        <v>1288</v>
      </c>
      <c r="F214" s="9">
        <f>132+1134</f>
        <v>1266</v>
      </c>
      <c r="G214" s="9">
        <f>142+1091</f>
        <v>1233</v>
      </c>
      <c r="H214" s="9">
        <f>146+1100</f>
        <v>1246</v>
      </c>
      <c r="I214" s="9">
        <f>174+1128</f>
        <v>1302</v>
      </c>
      <c r="J214" s="9">
        <f>188+1134</f>
        <v>1322</v>
      </c>
      <c r="K214" s="9">
        <f>175+1131</f>
        <v>1306</v>
      </c>
      <c r="L214" s="9">
        <v>1877</v>
      </c>
      <c r="M214" s="9">
        <v>2336</v>
      </c>
      <c r="N214" s="9">
        <v>2832</v>
      </c>
      <c r="O214" s="9">
        <v>2538</v>
      </c>
      <c r="P214" s="9">
        <v>2237</v>
      </c>
      <c r="Q214" s="9">
        <v>2845</v>
      </c>
      <c r="R214" s="10">
        <v>4433</v>
      </c>
      <c r="S214" s="10">
        <v>5163</v>
      </c>
      <c r="T214" s="10">
        <v>4906</v>
      </c>
      <c r="U214" s="10">
        <v>5016</v>
      </c>
      <c r="V214" s="10">
        <v>4051</v>
      </c>
    </row>
    <row r="215" spans="1:22" ht="12.75">
      <c r="A215" s="4" t="s">
        <v>189</v>
      </c>
      <c r="B215" s="14" t="s">
        <v>242</v>
      </c>
      <c r="C215" s="9">
        <f>2285+4063</f>
        <v>6348</v>
      </c>
      <c r="D215" s="50">
        <f>4124+2139</f>
        <v>6263</v>
      </c>
      <c r="E215" s="9">
        <f>4039+2020</f>
        <v>6059</v>
      </c>
      <c r="F215" s="9">
        <f>3958+2095</f>
        <v>6053</v>
      </c>
      <c r="G215" s="9">
        <f>2131+4095</f>
        <v>6226</v>
      </c>
      <c r="H215" s="9">
        <f>2324+4213</f>
        <v>6537</v>
      </c>
      <c r="I215" s="9">
        <f>2392+4046</f>
        <v>6438</v>
      </c>
      <c r="J215" s="9">
        <f>2653+4365</f>
        <v>7018</v>
      </c>
      <c r="K215" s="9">
        <f>2500+4199</f>
        <v>6699</v>
      </c>
      <c r="L215" s="9">
        <v>8986</v>
      </c>
      <c r="M215" s="9">
        <v>9099</v>
      </c>
      <c r="N215" s="9">
        <v>9770</v>
      </c>
      <c r="O215" s="9">
        <v>8771</v>
      </c>
      <c r="P215" s="9">
        <v>8072</v>
      </c>
      <c r="Q215" s="9">
        <v>9570</v>
      </c>
      <c r="R215" s="10">
        <v>11438</v>
      </c>
      <c r="S215" s="10">
        <v>11992</v>
      </c>
      <c r="T215" s="10">
        <v>11131</v>
      </c>
      <c r="U215" s="10">
        <v>11223</v>
      </c>
      <c r="V215" s="10">
        <v>10761</v>
      </c>
    </row>
    <row r="216" spans="1:22" ht="12.75">
      <c r="A216" s="4" t="s">
        <v>190</v>
      </c>
      <c r="B216" s="14" t="s">
        <v>242</v>
      </c>
      <c r="C216" s="9">
        <f>5308+2435</f>
        <v>7743</v>
      </c>
      <c r="D216" s="50">
        <f>5141+2503</f>
        <v>7644</v>
      </c>
      <c r="E216" s="9">
        <f>5096+2648</f>
        <v>7744</v>
      </c>
      <c r="F216" s="9">
        <f>5004+2658</f>
        <v>7662</v>
      </c>
      <c r="G216" s="9">
        <f>4890+2793</f>
        <v>7683</v>
      </c>
      <c r="H216" s="9">
        <f>4975+2892</f>
        <v>7867</v>
      </c>
      <c r="I216" s="9">
        <f>5079+2861</f>
        <v>7940</v>
      </c>
      <c r="J216" s="9">
        <f>5283+2915</f>
        <v>8198</v>
      </c>
      <c r="K216" s="9">
        <f>4969+3088</f>
        <v>8057</v>
      </c>
      <c r="L216" s="9">
        <v>9729</v>
      </c>
      <c r="M216" s="9">
        <v>9799</v>
      </c>
      <c r="N216" s="9">
        <v>9609</v>
      </c>
      <c r="O216" s="9">
        <v>9525</v>
      </c>
      <c r="P216" s="9">
        <v>9753</v>
      </c>
      <c r="Q216" s="9">
        <v>11260</v>
      </c>
      <c r="R216" s="10">
        <v>11246</v>
      </c>
      <c r="S216" s="10">
        <v>11948</v>
      </c>
      <c r="T216" s="10">
        <v>12316</v>
      </c>
      <c r="U216" s="10">
        <v>11917</v>
      </c>
      <c r="V216" s="10">
        <v>11412</v>
      </c>
    </row>
    <row r="217" spans="1:22" ht="12.75">
      <c r="A217" s="4" t="s">
        <v>200</v>
      </c>
      <c r="B217" s="14" t="s">
        <v>242</v>
      </c>
      <c r="C217" s="9">
        <f>4943+1382</f>
        <v>6325</v>
      </c>
      <c r="D217" s="50">
        <f>1512+5041</f>
        <v>6553</v>
      </c>
      <c r="E217" s="9">
        <f>1495+5006</f>
        <v>6501</v>
      </c>
      <c r="F217" s="9">
        <f>1595+5180</f>
        <v>6775</v>
      </c>
      <c r="G217" s="9">
        <f>5050+1624</f>
        <v>6674</v>
      </c>
      <c r="H217" s="9">
        <f>5066+1683</f>
        <v>6749</v>
      </c>
      <c r="I217" s="9">
        <f>5184+1741</f>
        <v>6925</v>
      </c>
      <c r="J217" s="9">
        <f>5200+1700</f>
        <v>6900</v>
      </c>
      <c r="K217" s="9">
        <f>4874+1830</f>
        <v>6704</v>
      </c>
      <c r="L217" s="9">
        <v>8441</v>
      </c>
      <c r="M217" s="9">
        <v>8605</v>
      </c>
      <c r="N217" s="9">
        <v>8740</v>
      </c>
      <c r="O217" s="9">
        <v>8928</v>
      </c>
      <c r="P217" s="9">
        <v>9892</v>
      </c>
      <c r="Q217" s="9">
        <v>10637</v>
      </c>
      <c r="R217" s="10">
        <v>10232</v>
      </c>
      <c r="S217" s="10">
        <v>11108</v>
      </c>
      <c r="T217" s="10">
        <v>10913</v>
      </c>
      <c r="U217" s="10">
        <v>11165</v>
      </c>
      <c r="V217" s="10">
        <v>11499</v>
      </c>
    </row>
    <row r="218" spans="1:22" ht="12.75">
      <c r="A218" s="4" t="s">
        <v>191</v>
      </c>
      <c r="B218" s="14" t="s">
        <v>242</v>
      </c>
      <c r="C218" s="9">
        <f>3217+762</f>
        <v>3979</v>
      </c>
      <c r="D218" s="50">
        <f>3305+902</f>
        <v>4207</v>
      </c>
      <c r="E218" s="9">
        <f>3590+921</f>
        <v>4511</v>
      </c>
      <c r="F218" s="9">
        <f>3712+932</f>
        <v>4644</v>
      </c>
      <c r="G218" s="9">
        <f>3951+1021</f>
        <v>4972</v>
      </c>
      <c r="H218" s="9">
        <f>4072+1099</f>
        <v>5171</v>
      </c>
      <c r="I218" s="9">
        <f>3970+1075</f>
        <v>5045</v>
      </c>
      <c r="J218" s="9">
        <f>3947+1124</f>
        <v>5071</v>
      </c>
      <c r="K218" s="9">
        <f>3783+1174</f>
        <v>4957</v>
      </c>
      <c r="L218" s="9">
        <v>6472</v>
      </c>
      <c r="M218" s="9">
        <v>6991</v>
      </c>
      <c r="N218" s="9">
        <v>6838</v>
      </c>
      <c r="O218" s="9">
        <v>7022</v>
      </c>
      <c r="P218" s="9">
        <v>7511</v>
      </c>
      <c r="Q218" s="9">
        <v>8174</v>
      </c>
      <c r="R218" s="10">
        <v>7556</v>
      </c>
      <c r="S218" s="10">
        <v>7761</v>
      </c>
      <c r="T218" s="10">
        <v>8544</v>
      </c>
      <c r="U218" s="10">
        <v>8476</v>
      </c>
      <c r="V218" s="10">
        <v>8947</v>
      </c>
    </row>
    <row r="219" spans="1:22" ht="12.75">
      <c r="A219" s="4" t="s">
        <v>192</v>
      </c>
      <c r="B219" s="14" t="s">
        <v>242</v>
      </c>
      <c r="C219" s="9">
        <f>1825+507</f>
        <v>2332</v>
      </c>
      <c r="D219" s="50">
        <f>529+1887</f>
        <v>2416</v>
      </c>
      <c r="E219" s="9">
        <f>2118+494</f>
        <v>2612</v>
      </c>
      <c r="F219" s="9">
        <f>608+2244</f>
        <v>2852</v>
      </c>
      <c r="G219" s="9">
        <f>2475+618</f>
        <v>3093</v>
      </c>
      <c r="H219" s="9">
        <f>2555+630</f>
        <v>3185</v>
      </c>
      <c r="I219" s="9">
        <f>2577+686</f>
        <v>3263</v>
      </c>
      <c r="J219" s="9">
        <f>2660+642</f>
        <v>3302</v>
      </c>
      <c r="K219" s="9">
        <f>2801+711</f>
        <v>3512</v>
      </c>
      <c r="L219" s="9">
        <v>4690</v>
      </c>
      <c r="M219" s="9">
        <v>4787</v>
      </c>
      <c r="N219" s="9">
        <v>5053</v>
      </c>
      <c r="O219" s="9">
        <v>5197</v>
      </c>
      <c r="P219" s="9">
        <v>5204</v>
      </c>
      <c r="Q219" s="9">
        <v>5523</v>
      </c>
      <c r="R219" s="10">
        <v>5198</v>
      </c>
      <c r="S219" s="10">
        <v>5503</v>
      </c>
      <c r="T219" s="10">
        <v>5932</v>
      </c>
      <c r="U219" s="10">
        <v>6148</v>
      </c>
      <c r="V219" s="10">
        <v>6788</v>
      </c>
    </row>
    <row r="220" spans="1:22" ht="12.75">
      <c r="A220" s="4" t="s">
        <v>193</v>
      </c>
      <c r="B220" s="14" t="s">
        <v>242</v>
      </c>
      <c r="C220" s="9">
        <f>870+330</f>
        <v>1200</v>
      </c>
      <c r="D220" s="50">
        <f>1042+328</f>
        <v>1370</v>
      </c>
      <c r="E220" s="9">
        <f>357+1158</f>
        <v>1515</v>
      </c>
      <c r="F220" s="9">
        <f>1310+397</f>
        <v>1707</v>
      </c>
      <c r="G220" s="9">
        <f>1443+429</f>
        <v>1872</v>
      </c>
      <c r="H220" s="9">
        <f>1488+433</f>
        <v>1921</v>
      </c>
      <c r="I220" s="9">
        <f>1530+433</f>
        <v>1963</v>
      </c>
      <c r="J220" s="9">
        <f>1595+482</f>
        <v>2077</v>
      </c>
      <c r="K220" s="9">
        <f>1711+516</f>
        <v>2227</v>
      </c>
      <c r="L220" s="9">
        <v>3184</v>
      </c>
      <c r="M220" s="9">
        <v>3167</v>
      </c>
      <c r="N220" s="9">
        <v>3144</v>
      </c>
      <c r="O220" s="9">
        <v>3362</v>
      </c>
      <c r="P220" s="9">
        <v>3368</v>
      </c>
      <c r="Q220" s="9">
        <v>3586</v>
      </c>
      <c r="R220" s="10">
        <v>3486</v>
      </c>
      <c r="S220" s="10">
        <v>3450</v>
      </c>
      <c r="T220" s="10">
        <v>4181</v>
      </c>
      <c r="U220" s="10">
        <v>4234</v>
      </c>
      <c r="V220" s="10">
        <v>4658</v>
      </c>
    </row>
    <row r="221" spans="1:22" ht="12.75">
      <c r="A221" s="4" t="s">
        <v>194</v>
      </c>
      <c r="B221" s="14" t="s">
        <v>242</v>
      </c>
      <c r="C221" s="9">
        <f>464+196</f>
        <v>660</v>
      </c>
      <c r="D221" s="50">
        <f>228+570</f>
        <v>798</v>
      </c>
      <c r="E221" s="9">
        <f>643+231</f>
        <v>874</v>
      </c>
      <c r="F221" s="9">
        <f>258+733</f>
        <v>991</v>
      </c>
      <c r="G221" s="9">
        <f>780+309</f>
        <v>1089</v>
      </c>
      <c r="H221" s="9">
        <f>890+286</f>
        <v>1176</v>
      </c>
      <c r="I221" s="9">
        <f>959+293</f>
        <v>1252</v>
      </c>
      <c r="J221" s="9">
        <f>989+353</f>
        <v>1342</v>
      </c>
      <c r="K221" s="9">
        <f>1094+306</f>
        <v>1400</v>
      </c>
      <c r="L221" s="9">
        <v>1911</v>
      </c>
      <c r="M221" s="9">
        <v>2065</v>
      </c>
      <c r="N221" s="9">
        <v>1926</v>
      </c>
      <c r="O221" s="9">
        <v>2213</v>
      </c>
      <c r="P221" s="9">
        <v>2109</v>
      </c>
      <c r="Q221" s="9">
        <v>2402</v>
      </c>
      <c r="R221" s="10">
        <v>2109</v>
      </c>
      <c r="S221" s="10">
        <v>2428</v>
      </c>
      <c r="T221" s="10">
        <v>2728</v>
      </c>
      <c r="U221" s="10">
        <v>2782</v>
      </c>
      <c r="V221" s="10">
        <v>3344</v>
      </c>
    </row>
    <row r="222" spans="1:22" ht="12.75">
      <c r="A222" s="4" t="s">
        <v>195</v>
      </c>
      <c r="B222" s="14" t="s">
        <v>242</v>
      </c>
      <c r="C222" s="9">
        <f>521+212</f>
        <v>733</v>
      </c>
      <c r="D222" s="50">
        <f>602+265</f>
        <v>867</v>
      </c>
      <c r="E222" s="9">
        <f>241+605</f>
        <v>846</v>
      </c>
      <c r="F222" s="9">
        <f>678+306</f>
        <v>984</v>
      </c>
      <c r="G222" s="9">
        <f>738+325</f>
        <v>1063</v>
      </c>
      <c r="H222" s="9">
        <f>912+355</f>
        <v>1267</v>
      </c>
      <c r="I222" s="9">
        <f>989+418</f>
        <v>1407</v>
      </c>
      <c r="J222" s="9">
        <f>1003+369</f>
        <v>1372</v>
      </c>
      <c r="K222" s="9">
        <f>1166+380</f>
        <v>1546</v>
      </c>
      <c r="L222" s="9">
        <v>2210</v>
      </c>
      <c r="M222" s="9">
        <v>2261</v>
      </c>
      <c r="N222" s="9">
        <v>2188</v>
      </c>
      <c r="O222" s="9">
        <v>2506</v>
      </c>
      <c r="P222" s="9">
        <v>2406</v>
      </c>
      <c r="Q222" s="9">
        <v>2688</v>
      </c>
      <c r="R222" s="10">
        <v>2618</v>
      </c>
      <c r="S222" s="10">
        <v>2610</v>
      </c>
      <c r="T222" s="10">
        <v>3160</v>
      </c>
      <c r="U222" s="10">
        <v>3202</v>
      </c>
      <c r="V222" s="10">
        <v>3769</v>
      </c>
    </row>
    <row r="223" spans="1:22" ht="12.75">
      <c r="A223" s="25" t="s">
        <v>258</v>
      </c>
      <c r="B223" s="14" t="s">
        <v>242</v>
      </c>
      <c r="C223" s="9">
        <f>826+374</f>
        <v>1200</v>
      </c>
      <c r="D223" s="50">
        <f>377+925</f>
        <v>1302</v>
      </c>
      <c r="E223" s="9">
        <f>1005+402</f>
        <v>1407</v>
      </c>
      <c r="F223" s="9">
        <f>459+1145</f>
        <v>1604</v>
      </c>
      <c r="G223" s="9">
        <f>383+896+162+343</f>
        <v>1784</v>
      </c>
      <c r="H223" s="9">
        <f>411+937+163+338</f>
        <v>1849</v>
      </c>
      <c r="I223" s="9">
        <f>457+1086+228+432</f>
        <v>2203</v>
      </c>
      <c r="J223" s="9">
        <f>480+1273+195+406</f>
        <v>2354</v>
      </c>
      <c r="K223" s="9">
        <f>604+1360+193+469</f>
        <v>2626</v>
      </c>
      <c r="R223" s="10"/>
      <c r="S223" s="10"/>
      <c r="T223" s="10"/>
      <c r="U223" s="10"/>
      <c r="V223" s="10"/>
    </row>
    <row r="224" spans="1:22" ht="12.75">
      <c r="A224" s="4" t="s">
        <v>196</v>
      </c>
      <c r="B224" s="14" t="s">
        <v>242</v>
      </c>
      <c r="D224" s="50"/>
      <c r="L224" s="9">
        <v>1047</v>
      </c>
      <c r="M224" s="9">
        <v>1119</v>
      </c>
      <c r="N224" s="9">
        <v>1015</v>
      </c>
      <c r="O224" s="9">
        <v>1210</v>
      </c>
      <c r="P224" s="9">
        <v>1291</v>
      </c>
      <c r="Q224" s="9">
        <v>1525</v>
      </c>
      <c r="R224" s="10">
        <v>1470</v>
      </c>
      <c r="S224" s="10">
        <v>1292</v>
      </c>
      <c r="T224" s="10">
        <v>1864</v>
      </c>
      <c r="U224" s="10">
        <v>1697</v>
      </c>
      <c r="V224" s="10">
        <v>2175</v>
      </c>
    </row>
    <row r="225" spans="1:22" ht="12.75">
      <c r="A225" s="4" t="s">
        <v>197</v>
      </c>
      <c r="B225" s="14" t="s">
        <v>242</v>
      </c>
      <c r="D225" s="50"/>
      <c r="L225" s="9">
        <v>676</v>
      </c>
      <c r="M225" s="9">
        <v>656</v>
      </c>
      <c r="N225" s="9">
        <v>609</v>
      </c>
      <c r="O225" s="9">
        <v>715</v>
      </c>
      <c r="P225" s="9">
        <v>829</v>
      </c>
      <c r="Q225" s="9">
        <v>950</v>
      </c>
      <c r="R225" s="10">
        <v>843</v>
      </c>
      <c r="S225" s="10">
        <v>849</v>
      </c>
      <c r="T225" s="10">
        <v>1057</v>
      </c>
      <c r="U225" s="10">
        <v>989</v>
      </c>
      <c r="V225" s="10">
        <v>1241</v>
      </c>
    </row>
    <row r="226" spans="1:22" ht="12.75">
      <c r="A226" s="4" t="s">
        <v>198</v>
      </c>
      <c r="B226" s="14" t="s">
        <v>242</v>
      </c>
      <c r="D226" s="50"/>
      <c r="N226" s="9">
        <v>814</v>
      </c>
      <c r="O226" s="9">
        <v>967</v>
      </c>
      <c r="P226" s="9">
        <v>1008</v>
      </c>
      <c r="Q226" s="9">
        <v>1185</v>
      </c>
      <c r="R226" s="10">
        <v>1241</v>
      </c>
      <c r="S226" s="10">
        <v>1140</v>
      </c>
      <c r="T226" s="10">
        <v>1443</v>
      </c>
      <c r="U226" s="10">
        <v>1541</v>
      </c>
      <c r="V226" s="10">
        <v>1927</v>
      </c>
    </row>
    <row r="227" spans="1:22" ht="12.75">
      <c r="A227" s="25" t="s">
        <v>303</v>
      </c>
      <c r="B227" s="14" t="s">
        <v>242</v>
      </c>
      <c r="D227" s="50"/>
      <c r="L227" s="9">
        <v>1973</v>
      </c>
      <c r="M227" s="9">
        <v>1983</v>
      </c>
      <c r="R227" s="10"/>
      <c r="S227" s="10"/>
      <c r="T227" s="10"/>
      <c r="U227" s="10"/>
      <c r="V227" s="10"/>
    </row>
    <row r="228" spans="1:22" ht="12.75">
      <c r="A228" s="4" t="s">
        <v>199</v>
      </c>
      <c r="B228" s="14" t="s">
        <v>242</v>
      </c>
      <c r="D228" s="50"/>
      <c r="N228" s="9">
        <v>1254</v>
      </c>
      <c r="O228" s="9">
        <v>1210</v>
      </c>
      <c r="P228" s="9">
        <v>1401</v>
      </c>
      <c r="Q228" s="9">
        <v>2029</v>
      </c>
      <c r="R228" s="10">
        <v>2480</v>
      </c>
      <c r="S228" s="10">
        <v>2360</v>
      </c>
      <c r="T228" s="10">
        <v>2533</v>
      </c>
      <c r="U228" s="10">
        <v>2540</v>
      </c>
      <c r="V228" s="10">
        <v>3516</v>
      </c>
    </row>
    <row r="229" spans="1:22" ht="12.75">
      <c r="A229" s="4" t="s">
        <v>248</v>
      </c>
      <c r="B229" s="14" t="s">
        <v>242</v>
      </c>
      <c r="C229" s="9">
        <f>47+32</f>
        <v>79</v>
      </c>
      <c r="D229" s="50">
        <f>62+37</f>
        <v>99</v>
      </c>
      <c r="E229" s="9">
        <f>41+62</f>
        <v>103</v>
      </c>
      <c r="F229" s="9">
        <f>61+45</f>
        <v>106</v>
      </c>
      <c r="G229" s="9">
        <f>46+33</f>
        <v>79</v>
      </c>
      <c r="H229" s="9">
        <f>53+29</f>
        <v>82</v>
      </c>
      <c r="I229" s="9">
        <f>77+49</f>
        <v>126</v>
      </c>
      <c r="J229" s="9">
        <f>83+55</f>
        <v>138</v>
      </c>
      <c r="K229" s="9">
        <f>77+32</f>
        <v>109</v>
      </c>
      <c r="L229" s="9">
        <v>532</v>
      </c>
      <c r="M229" s="9">
        <v>328</v>
      </c>
      <c r="N229" s="9">
        <v>448</v>
      </c>
      <c r="O229" s="9">
        <v>440</v>
      </c>
      <c r="P229" s="9">
        <v>659</v>
      </c>
      <c r="Q229" s="9">
        <v>1169</v>
      </c>
      <c r="R229" s="10">
        <v>1138</v>
      </c>
      <c r="S229" s="10">
        <v>1191</v>
      </c>
      <c r="T229" s="10">
        <v>1555</v>
      </c>
      <c r="U229" s="10">
        <v>1307</v>
      </c>
      <c r="V229" s="10">
        <v>842</v>
      </c>
    </row>
    <row r="230" spans="1:22" ht="12.75">
      <c r="A230" s="4" t="s">
        <v>304</v>
      </c>
      <c r="B230" s="14" t="s">
        <v>242</v>
      </c>
      <c r="C230" s="9">
        <f>2497+1545</f>
        <v>4042</v>
      </c>
      <c r="D230" s="50">
        <f>1751+2662</f>
        <v>4413</v>
      </c>
      <c r="E230" s="9">
        <f>1802+2672</f>
        <v>4474</v>
      </c>
      <c r="F230" s="9">
        <f>1516+2594</f>
        <v>4110</v>
      </c>
      <c r="G230" s="9">
        <f>2664+1624</f>
        <v>4288</v>
      </c>
      <c r="H230" s="9">
        <f>2617+1669</f>
        <v>4286</v>
      </c>
      <c r="I230" s="9">
        <f>2605+1478</f>
        <v>4083</v>
      </c>
      <c r="J230" s="9">
        <f>2562+1635</f>
        <v>4197</v>
      </c>
      <c r="K230" s="9">
        <f>2643+1749</f>
        <v>4392</v>
      </c>
      <c r="L230" s="9">
        <v>4417</v>
      </c>
      <c r="M230" s="9">
        <v>4967</v>
      </c>
      <c r="N230" s="9">
        <v>5676</v>
      </c>
      <c r="O230" s="9">
        <v>5192</v>
      </c>
      <c r="P230" s="9">
        <v>5512</v>
      </c>
      <c r="R230" s="10"/>
      <c r="S230" s="10"/>
      <c r="T230" s="10"/>
      <c r="U230" s="10"/>
      <c r="V230" s="10"/>
    </row>
    <row r="231" spans="1:22" ht="25.5">
      <c r="A231" s="27" t="s">
        <v>204</v>
      </c>
      <c r="B231" s="14" t="s">
        <v>242</v>
      </c>
      <c r="C231" s="14" t="s">
        <v>242</v>
      </c>
      <c r="D231" s="14" t="s">
        <v>242</v>
      </c>
      <c r="E231" s="14" t="s">
        <v>242</v>
      </c>
      <c r="F231" s="14" t="s">
        <v>242</v>
      </c>
      <c r="G231" s="14" t="s">
        <v>242</v>
      </c>
      <c r="H231" s="14" t="s">
        <v>242</v>
      </c>
      <c r="I231" s="14" t="s">
        <v>242</v>
      </c>
      <c r="J231" s="14" t="s">
        <v>242</v>
      </c>
      <c r="K231" s="14" t="s">
        <v>242</v>
      </c>
      <c r="M231" s="38"/>
      <c r="N231" s="38"/>
      <c r="O231" s="78">
        <v>0.18</v>
      </c>
      <c r="P231" s="38">
        <v>0.19</v>
      </c>
      <c r="Q231" s="38">
        <v>0.19</v>
      </c>
      <c r="R231" s="38">
        <v>0.17</v>
      </c>
      <c r="S231" s="38">
        <v>0.17</v>
      </c>
      <c r="T231" s="38">
        <v>0.18</v>
      </c>
      <c r="U231" s="38">
        <v>0.18</v>
      </c>
      <c r="V231" s="38">
        <v>0.2</v>
      </c>
    </row>
    <row r="232" spans="1:22" ht="25.5">
      <c r="A232" s="27" t="s">
        <v>201</v>
      </c>
      <c r="B232" s="58" t="s">
        <v>242</v>
      </c>
      <c r="C232" s="58" t="s">
        <v>242</v>
      </c>
      <c r="D232" s="58" t="s">
        <v>242</v>
      </c>
      <c r="E232" s="58" t="s">
        <v>242</v>
      </c>
      <c r="F232" s="58" t="s">
        <v>242</v>
      </c>
      <c r="G232" s="58" t="s">
        <v>242</v>
      </c>
      <c r="H232" s="58" t="s">
        <v>242</v>
      </c>
      <c r="I232" s="58" t="s">
        <v>242</v>
      </c>
      <c r="J232" s="58" t="s">
        <v>242</v>
      </c>
      <c r="K232" s="58" t="s">
        <v>242</v>
      </c>
      <c r="L232" s="38">
        <v>0.18</v>
      </c>
      <c r="M232" s="38">
        <v>0.18</v>
      </c>
      <c r="N232" s="78">
        <v>0.18</v>
      </c>
      <c r="O232" s="78">
        <v>0.18</v>
      </c>
      <c r="P232" s="38">
        <v>0.18</v>
      </c>
      <c r="Q232" s="38">
        <v>0.18</v>
      </c>
      <c r="R232" s="43">
        <v>0.17</v>
      </c>
      <c r="S232" s="43">
        <v>0.17</v>
      </c>
      <c r="T232" s="43">
        <v>0.18</v>
      </c>
      <c r="U232" s="43">
        <v>0.18</v>
      </c>
      <c r="V232" s="43">
        <v>0.19</v>
      </c>
    </row>
    <row r="233" spans="1:22" ht="12.75">
      <c r="A233" s="79" t="s">
        <v>148</v>
      </c>
      <c r="B233" s="10">
        <f aca="true" t="shared" si="35" ref="B233:K233">B260-SUM(B214:B230)</f>
        <v>35107</v>
      </c>
      <c r="C233" s="10">
        <f t="shared" si="35"/>
        <v>-1</v>
      </c>
      <c r="D233" s="10">
        <f t="shared" si="35"/>
        <v>0</v>
      </c>
      <c r="E233" s="10">
        <f t="shared" si="35"/>
        <v>0</v>
      </c>
      <c r="F233" s="10">
        <f t="shared" si="35"/>
        <v>0</v>
      </c>
      <c r="G233" s="10">
        <f t="shared" si="35"/>
        <v>-2</v>
      </c>
      <c r="H233" s="10">
        <f t="shared" si="35"/>
        <v>0</v>
      </c>
      <c r="I233" s="10">
        <f t="shared" si="35"/>
        <v>-2</v>
      </c>
      <c r="J233" s="10">
        <f t="shared" si="35"/>
        <v>2</v>
      </c>
      <c r="K233" s="10">
        <f t="shared" si="35"/>
        <v>0</v>
      </c>
      <c r="L233" s="10">
        <f>L37-SUM(L214:L229)-L230</f>
        <v>0</v>
      </c>
      <c r="M233" s="10">
        <f>M37-SUM(M214:M230)</f>
        <v>1</v>
      </c>
      <c r="N233" s="10">
        <f>N37-SUM(N214:N230)</f>
        <v>0</v>
      </c>
      <c r="O233" s="10">
        <f>O37-SUM(O214:O230)</f>
        <v>0</v>
      </c>
      <c r="P233" s="10">
        <f>P37-SUM(P214:P230)</f>
        <v>0</v>
      </c>
      <c r="Q233" s="10">
        <f aca="true" t="shared" si="36" ref="Q233:V233">Q37-SUM(Q214:Q229)</f>
        <v>1</v>
      </c>
      <c r="R233" s="10">
        <f t="shared" si="36"/>
        <v>-1</v>
      </c>
      <c r="S233" s="10">
        <f t="shared" si="36"/>
        <v>1</v>
      </c>
      <c r="T233" s="10">
        <f t="shared" si="36"/>
        <v>2</v>
      </c>
      <c r="U233" s="10">
        <f t="shared" si="36"/>
        <v>1</v>
      </c>
      <c r="V233" s="10">
        <f t="shared" si="36"/>
        <v>1</v>
      </c>
    </row>
    <row r="234" spans="1:22" ht="12.75">
      <c r="A234" s="27"/>
      <c r="D234" s="1"/>
      <c r="O234" s="44" t="s">
        <v>315</v>
      </c>
      <c r="R234" s="10"/>
      <c r="S234" s="10"/>
      <c r="T234" s="10"/>
      <c r="U234" s="10"/>
      <c r="V234" s="10"/>
    </row>
    <row r="235" spans="1:4" ht="12.75">
      <c r="A235" s="19" t="s">
        <v>94</v>
      </c>
      <c r="D235" s="1"/>
    </row>
    <row r="236" spans="18:22" ht="12.75">
      <c r="R236" s="10"/>
      <c r="S236" s="10"/>
      <c r="T236" s="10"/>
      <c r="U236" s="10"/>
      <c r="V236" s="10"/>
    </row>
    <row r="237" spans="1:22" ht="12.75">
      <c r="A237" s="18" t="s">
        <v>96</v>
      </c>
      <c r="R237" s="10"/>
      <c r="S237" s="10"/>
      <c r="T237" s="10"/>
      <c r="U237" s="10"/>
      <c r="V237" s="10"/>
    </row>
    <row r="238" spans="1:22" ht="12.75">
      <c r="A238" s="18" t="s">
        <v>205</v>
      </c>
      <c r="B238" s="9">
        <f>787+1119+1487</f>
        <v>3393</v>
      </c>
      <c r="C238" s="9">
        <f>652+956+1226</f>
        <v>2834</v>
      </c>
      <c r="D238" s="9">
        <f>533+843+1096</f>
        <v>2472</v>
      </c>
      <c r="E238" s="9">
        <f>408+730+895</f>
        <v>2033</v>
      </c>
      <c r="F238" s="9">
        <f>290+573+651</f>
        <v>1514</v>
      </c>
      <c r="G238" s="9">
        <v>1294</v>
      </c>
      <c r="H238" s="9">
        <v>1072</v>
      </c>
      <c r="I238" s="9">
        <v>850</v>
      </c>
      <c r="J238" s="9">
        <v>746</v>
      </c>
      <c r="K238" s="9">
        <v>633</v>
      </c>
      <c r="L238" s="9">
        <v>2730</v>
      </c>
      <c r="M238" s="9">
        <v>2453</v>
      </c>
      <c r="N238" s="9">
        <v>2341</v>
      </c>
      <c r="O238" s="9">
        <v>2227</v>
      </c>
      <c r="P238" s="9">
        <v>1856</v>
      </c>
      <c r="Q238" s="9">
        <v>1761</v>
      </c>
      <c r="R238" s="10">
        <v>2081</v>
      </c>
      <c r="S238" s="10">
        <v>2062</v>
      </c>
      <c r="T238" s="10">
        <v>1613</v>
      </c>
      <c r="U238" s="10">
        <v>1880</v>
      </c>
      <c r="V238" s="10">
        <v>1762</v>
      </c>
    </row>
    <row r="239" spans="1:22" ht="12.75">
      <c r="A239" s="18" t="s">
        <v>206</v>
      </c>
      <c r="B239" s="9">
        <f>2176+2111+2780+2910</f>
        <v>9977</v>
      </c>
      <c r="C239" s="9">
        <f>1869+1756+2385+2359</f>
        <v>8369</v>
      </c>
      <c r="D239" s="9">
        <f>1621+1484+2238+2120</f>
        <v>7463</v>
      </c>
      <c r="E239" s="9">
        <f>1361+1272+1971+1900</f>
        <v>6504</v>
      </c>
      <c r="F239" s="9">
        <f>1019+875+1544+1505</f>
        <v>4943</v>
      </c>
      <c r="G239" s="9">
        <f>856+695+2395</f>
        <v>3946</v>
      </c>
      <c r="H239" s="9">
        <f>624+513+1825</f>
        <v>2962</v>
      </c>
      <c r="I239" s="9">
        <f>573+466+1508</f>
        <v>2547</v>
      </c>
      <c r="J239" s="9">
        <f>512+351+1305</f>
        <v>2168</v>
      </c>
      <c r="K239" s="9">
        <f>441+280+1055</f>
        <v>1776</v>
      </c>
      <c r="L239" s="9">
        <v>3304</v>
      </c>
      <c r="M239" s="9">
        <v>2908</v>
      </c>
      <c r="N239" s="9">
        <v>2628</v>
      </c>
      <c r="O239" s="9">
        <v>2691</v>
      </c>
      <c r="P239" s="9">
        <v>2391</v>
      </c>
      <c r="Q239" s="9">
        <v>2179</v>
      </c>
      <c r="R239" s="10">
        <v>1713</v>
      </c>
      <c r="S239" s="10">
        <v>1899</v>
      </c>
      <c r="T239" s="10">
        <v>1502</v>
      </c>
      <c r="U239" s="10">
        <v>1359</v>
      </c>
      <c r="V239" s="10">
        <v>1231</v>
      </c>
    </row>
    <row r="240" spans="1:22" ht="12.75">
      <c r="A240" s="18" t="s">
        <v>207</v>
      </c>
      <c r="B240" s="1"/>
      <c r="C240" s="1"/>
      <c r="D240" s="9">
        <f>4406+4804</f>
        <v>9210</v>
      </c>
      <c r="E240" s="9">
        <f>3907+4509</f>
        <v>8416</v>
      </c>
      <c r="F240" s="9">
        <f>3277+3925</f>
        <v>7202</v>
      </c>
      <c r="G240" s="9">
        <f>2691+3349</f>
        <v>6040</v>
      </c>
      <c r="H240" s="9">
        <f>2352+2760</f>
        <v>5112</v>
      </c>
      <c r="I240" s="9">
        <f>1900+2488</f>
        <v>4388</v>
      </c>
      <c r="J240" s="9">
        <f>1644+2188</f>
        <v>3832</v>
      </c>
      <c r="K240" s="9">
        <f>1486+1925</f>
        <v>3411</v>
      </c>
      <c r="L240" s="9">
        <v>3707</v>
      </c>
      <c r="M240" s="9">
        <v>3374</v>
      </c>
      <c r="N240" s="9">
        <v>3139</v>
      </c>
      <c r="O240" s="9">
        <v>2898</v>
      </c>
      <c r="P240" s="9">
        <v>2685</v>
      </c>
      <c r="Q240" s="9">
        <v>2396</v>
      </c>
      <c r="R240" s="10">
        <v>2047</v>
      </c>
      <c r="S240" s="10">
        <v>1798</v>
      </c>
      <c r="T240" s="10">
        <v>1721</v>
      </c>
      <c r="U240" s="10">
        <v>1475</v>
      </c>
      <c r="V240" s="10">
        <v>1266</v>
      </c>
    </row>
    <row r="241" spans="1:22" ht="12.75">
      <c r="A241" s="18" t="s">
        <v>208</v>
      </c>
      <c r="B241" s="1"/>
      <c r="C241" s="1"/>
      <c r="D241" s="9">
        <f>4318+3750</f>
        <v>8068</v>
      </c>
      <c r="E241" s="9">
        <f>4406+4021</f>
        <v>8427</v>
      </c>
      <c r="F241" s="9">
        <f>4111+4178</f>
        <v>8289</v>
      </c>
      <c r="G241" s="9">
        <f>3717+4071</f>
        <v>7788</v>
      </c>
      <c r="H241" s="9">
        <f>3331+3524</f>
        <v>6855</v>
      </c>
      <c r="I241" s="9">
        <f>2832+3324</f>
        <v>6156</v>
      </c>
      <c r="J241" s="9">
        <f>2673+3149</f>
        <v>5822</v>
      </c>
      <c r="K241" s="9">
        <f>2282+2718</f>
        <v>5000</v>
      </c>
      <c r="L241" s="9">
        <v>5243</v>
      </c>
      <c r="M241" s="9">
        <v>4723</v>
      </c>
      <c r="N241" s="9">
        <v>4152</v>
      </c>
      <c r="O241" s="9">
        <v>3588</v>
      </c>
      <c r="P241" s="9">
        <v>3353</v>
      </c>
      <c r="Q241" s="9">
        <v>3115</v>
      </c>
      <c r="R241" s="10">
        <v>2559</v>
      </c>
      <c r="S241" s="10">
        <v>2141</v>
      </c>
      <c r="T241" s="10">
        <v>1821</v>
      </c>
      <c r="U241" s="10">
        <v>1627</v>
      </c>
      <c r="V241" s="10">
        <v>1429</v>
      </c>
    </row>
    <row r="242" spans="1:22" ht="12.75">
      <c r="A242" s="18" t="s">
        <v>209</v>
      </c>
      <c r="B242" s="1"/>
      <c r="C242" s="1"/>
      <c r="D242" s="9">
        <v>4663</v>
      </c>
      <c r="E242" s="9">
        <v>5157</v>
      </c>
      <c r="F242" s="9">
        <v>5944</v>
      </c>
      <c r="G242" s="9">
        <v>6316</v>
      </c>
      <c r="H242" s="9">
        <v>6566</v>
      </c>
      <c r="I242" s="9">
        <v>6387</v>
      </c>
      <c r="J242" s="9">
        <f>6314</f>
        <v>6314</v>
      </c>
      <c r="K242" s="9">
        <v>5985</v>
      </c>
      <c r="L242" s="9">
        <v>6344</v>
      </c>
      <c r="M242" s="9">
        <v>5781</v>
      </c>
      <c r="N242" s="9">
        <v>5272</v>
      </c>
      <c r="O242" s="9">
        <v>4574</v>
      </c>
      <c r="P242" s="9">
        <v>4148</v>
      </c>
      <c r="Q242" s="9">
        <v>3509</v>
      </c>
      <c r="R242" s="10">
        <v>3044</v>
      </c>
      <c r="S242" s="10">
        <v>2765</v>
      </c>
      <c r="T242" s="10">
        <v>2355</v>
      </c>
      <c r="U242" s="10">
        <v>1936</v>
      </c>
      <c r="V242" s="10">
        <v>1721</v>
      </c>
    </row>
    <row r="243" spans="1:22" ht="12.75">
      <c r="A243" s="19" t="s">
        <v>332</v>
      </c>
      <c r="B243" s="1">
        <f>5102+8237+5545</f>
        <v>18884</v>
      </c>
      <c r="C243" s="1">
        <f>4905+8883+6994</f>
        <v>20782</v>
      </c>
      <c r="R243" s="10"/>
      <c r="S243" s="10"/>
      <c r="T243" s="10"/>
      <c r="U243" s="10"/>
      <c r="V243" s="10"/>
    </row>
    <row r="244" spans="1:22" ht="12.75">
      <c r="A244" s="18" t="s">
        <v>210</v>
      </c>
      <c r="C244" s="9">
        <v>1856</v>
      </c>
      <c r="D244" s="9">
        <v>2345</v>
      </c>
      <c r="E244" s="9">
        <v>3094</v>
      </c>
      <c r="F244" s="9">
        <v>3984</v>
      </c>
      <c r="G244" s="9">
        <v>4527</v>
      </c>
      <c r="H244" s="9">
        <v>4937</v>
      </c>
      <c r="I244" s="9">
        <v>4993</v>
      </c>
      <c r="J244" s="9">
        <v>5263</v>
      </c>
      <c r="K244" s="9">
        <v>5136</v>
      </c>
      <c r="L244" s="9">
        <v>5524</v>
      </c>
      <c r="M244" s="9">
        <v>5282</v>
      </c>
      <c r="N244" s="9">
        <v>4773</v>
      </c>
      <c r="O244" s="9">
        <v>4457</v>
      </c>
      <c r="P244" s="9">
        <v>4101</v>
      </c>
      <c r="Q244" s="9">
        <v>3933</v>
      </c>
      <c r="R244" s="10">
        <v>3597</v>
      </c>
      <c r="S244" s="10">
        <v>3248</v>
      </c>
      <c r="T244" s="10">
        <v>2886</v>
      </c>
      <c r="U244" s="10">
        <v>2486</v>
      </c>
      <c r="V244" s="10">
        <v>1954</v>
      </c>
    </row>
    <row r="245" spans="1:22" ht="12.75">
      <c r="A245" s="18" t="s">
        <v>211</v>
      </c>
      <c r="G245" s="1"/>
      <c r="H245" s="1"/>
      <c r="I245" s="1"/>
      <c r="J245" s="1"/>
      <c r="K245" s="1"/>
      <c r="L245" s="9">
        <v>5719</v>
      </c>
      <c r="M245" s="9">
        <v>5740</v>
      </c>
      <c r="N245" s="9">
        <v>5225</v>
      </c>
      <c r="O245" s="9">
        <v>4963</v>
      </c>
      <c r="P245" s="9">
        <v>4802</v>
      </c>
      <c r="Q245" s="9">
        <v>4807</v>
      </c>
      <c r="R245" s="10">
        <v>4328</v>
      </c>
      <c r="S245" s="10">
        <v>4180</v>
      </c>
      <c r="T245" s="10">
        <v>3762</v>
      </c>
      <c r="U245" s="10">
        <v>2821</v>
      </c>
      <c r="V245" s="10">
        <v>2883</v>
      </c>
    </row>
    <row r="246" spans="1:22" ht="12.75">
      <c r="A246" s="18" t="s">
        <v>212</v>
      </c>
      <c r="G246" s="1"/>
      <c r="H246" s="1"/>
      <c r="I246" s="1"/>
      <c r="J246" s="1"/>
      <c r="K246" s="1"/>
      <c r="L246" s="9">
        <v>4667</v>
      </c>
      <c r="M246" s="9">
        <v>4660</v>
      </c>
      <c r="N246" s="9">
        <v>4531</v>
      </c>
      <c r="O246" s="9">
        <v>4495</v>
      </c>
      <c r="P246" s="9">
        <v>4666</v>
      </c>
      <c r="Q246" s="9">
        <v>4533</v>
      </c>
      <c r="R246" s="10">
        <v>4782</v>
      </c>
      <c r="S246" s="10">
        <v>4481</v>
      </c>
      <c r="T246" s="10">
        <v>4282</v>
      </c>
      <c r="U246" s="10">
        <v>3606</v>
      </c>
      <c r="V246" s="10">
        <v>3357</v>
      </c>
    </row>
    <row r="247" spans="1:22" ht="12.75">
      <c r="A247" s="18" t="s">
        <v>213</v>
      </c>
      <c r="L247" s="9">
        <v>6730</v>
      </c>
      <c r="M247" s="9">
        <v>6620</v>
      </c>
      <c r="N247" s="9">
        <v>7124</v>
      </c>
      <c r="O247" s="9">
        <v>7471</v>
      </c>
      <c r="P247" s="9">
        <v>8034</v>
      </c>
      <c r="Q247" s="9">
        <v>8857</v>
      </c>
      <c r="R247" s="10">
        <v>9133</v>
      </c>
      <c r="S247" s="10">
        <v>9085</v>
      </c>
      <c r="T247" s="10">
        <v>8501</v>
      </c>
      <c r="U247" s="10">
        <v>7440</v>
      </c>
      <c r="V247" s="10">
        <v>6370</v>
      </c>
    </row>
    <row r="248" spans="1:22" ht="12.75">
      <c r="A248" s="19" t="s">
        <v>331</v>
      </c>
      <c r="G248" s="9">
        <f>4561+3254</f>
        <v>7815</v>
      </c>
      <c r="H248" s="9">
        <f>5671+4572</f>
        <v>10243</v>
      </c>
      <c r="I248" s="9">
        <f>6399+5454</f>
        <v>11853</v>
      </c>
      <c r="J248" s="9">
        <f>6826+6266</f>
        <v>13092</v>
      </c>
      <c r="K248" s="9">
        <f>7081+7247</f>
        <v>14328</v>
      </c>
      <c r="R248" s="10"/>
      <c r="S248" s="10"/>
      <c r="T248" s="10"/>
      <c r="U248" s="10"/>
      <c r="V248" s="10"/>
    </row>
    <row r="249" spans="1:22" ht="12.75">
      <c r="A249" s="18" t="s">
        <v>214</v>
      </c>
      <c r="L249" s="9">
        <v>3536</v>
      </c>
      <c r="M249" s="9">
        <v>3687</v>
      </c>
      <c r="N249" s="9">
        <v>3875</v>
      </c>
      <c r="O249" s="9">
        <v>4376</v>
      </c>
      <c r="P249" s="9">
        <v>5171</v>
      </c>
      <c r="Q249" s="9">
        <v>5628</v>
      </c>
      <c r="R249" s="10">
        <v>6600</v>
      </c>
      <c r="S249" s="10">
        <v>6599</v>
      </c>
      <c r="T249" s="10">
        <v>6511</v>
      </c>
      <c r="U249" s="10">
        <v>5766</v>
      </c>
      <c r="V249" s="10">
        <v>5123</v>
      </c>
    </row>
    <row r="250" spans="1:22" ht="12.75">
      <c r="A250" s="18" t="s">
        <v>215</v>
      </c>
      <c r="L250" s="9">
        <v>3304</v>
      </c>
      <c r="M250" s="9">
        <v>4052</v>
      </c>
      <c r="N250" s="9">
        <v>4456</v>
      </c>
      <c r="O250" s="9">
        <v>4906</v>
      </c>
      <c r="P250" s="9">
        <v>5922</v>
      </c>
      <c r="Q250" s="9">
        <v>7097</v>
      </c>
      <c r="R250" s="10">
        <v>8114</v>
      </c>
      <c r="S250" s="10">
        <v>8618</v>
      </c>
      <c r="T250" s="10">
        <v>9104</v>
      </c>
      <c r="U250" s="10">
        <v>8500</v>
      </c>
      <c r="V250" s="10">
        <v>7377</v>
      </c>
    </row>
    <row r="251" spans="1:22" ht="12.75">
      <c r="A251" s="19" t="s">
        <v>325</v>
      </c>
      <c r="G251" s="9">
        <f>1070+550</f>
        <v>1620</v>
      </c>
      <c r="H251" s="9">
        <f>1563+914</f>
        <v>2477</v>
      </c>
      <c r="I251" s="9">
        <f>1887+1140</f>
        <v>3027</v>
      </c>
      <c r="J251" s="9">
        <f>2486+1296</f>
        <v>3782</v>
      </c>
      <c r="K251" s="9">
        <f>2748+1752</f>
        <v>4500</v>
      </c>
      <c r="R251" s="10"/>
      <c r="S251" s="10"/>
      <c r="T251" s="10"/>
      <c r="U251" s="10"/>
      <c r="V251" s="10"/>
    </row>
    <row r="252" spans="1:22" ht="12.75">
      <c r="A252" s="18" t="s">
        <v>95</v>
      </c>
      <c r="G252" s="9">
        <v>438</v>
      </c>
      <c r="H252" s="9">
        <v>659</v>
      </c>
      <c r="I252" s="9">
        <v>1014</v>
      </c>
      <c r="J252" s="9">
        <v>1265</v>
      </c>
      <c r="K252" s="9">
        <v>1508</v>
      </c>
      <c r="L252" s="9">
        <v>2683</v>
      </c>
      <c r="M252" s="9">
        <v>4157</v>
      </c>
      <c r="N252" s="9">
        <v>5079</v>
      </c>
      <c r="O252" s="9">
        <v>5574</v>
      </c>
      <c r="P252" s="9">
        <v>6284</v>
      </c>
      <c r="Q252" s="9">
        <v>7153</v>
      </c>
      <c r="R252" s="10">
        <v>8047</v>
      </c>
      <c r="S252" s="10">
        <v>9129</v>
      </c>
      <c r="T252" s="10">
        <v>10169</v>
      </c>
      <c r="U252" s="10">
        <v>9989</v>
      </c>
      <c r="V252" s="10">
        <v>9751</v>
      </c>
    </row>
    <row r="253" spans="1:22" ht="12.75">
      <c r="A253" s="18" t="s">
        <v>216</v>
      </c>
      <c r="G253" s="9">
        <v>162</v>
      </c>
      <c r="H253" s="9">
        <v>210</v>
      </c>
      <c r="I253" s="9">
        <v>354</v>
      </c>
      <c r="J253" s="9">
        <v>500</v>
      </c>
      <c r="K253" s="9">
        <v>637</v>
      </c>
      <c r="L253" s="9">
        <v>1248</v>
      </c>
      <c r="M253" s="9">
        <v>2036</v>
      </c>
      <c r="N253" s="9">
        <v>2834</v>
      </c>
      <c r="O253" s="9">
        <v>2863</v>
      </c>
      <c r="P253" s="9">
        <v>2999</v>
      </c>
      <c r="Q253" s="9">
        <v>3310</v>
      </c>
      <c r="R253" s="10">
        <v>3771</v>
      </c>
      <c r="S253" s="10">
        <v>4642</v>
      </c>
      <c r="T253" s="10">
        <v>5743</v>
      </c>
      <c r="U253" s="10">
        <v>6358</v>
      </c>
      <c r="V253" s="10">
        <v>6658</v>
      </c>
    </row>
    <row r="254" spans="1:22" ht="12.75">
      <c r="A254" s="18" t="s">
        <v>217</v>
      </c>
      <c r="G254" s="9">
        <v>51</v>
      </c>
      <c r="H254" s="9">
        <v>116</v>
      </c>
      <c r="I254" s="9">
        <v>158</v>
      </c>
      <c r="J254" s="9">
        <v>226</v>
      </c>
      <c r="K254" s="9">
        <v>268</v>
      </c>
      <c r="L254" s="9">
        <v>573</v>
      </c>
      <c r="M254" s="9">
        <v>1029</v>
      </c>
      <c r="N254" s="9">
        <v>1535</v>
      </c>
      <c r="O254" s="9">
        <v>1640</v>
      </c>
      <c r="P254" s="9">
        <v>1734</v>
      </c>
      <c r="Q254" s="9">
        <v>1808</v>
      </c>
      <c r="R254" s="10">
        <v>2030</v>
      </c>
      <c r="S254" s="10">
        <v>2749</v>
      </c>
      <c r="T254" s="10">
        <v>3749</v>
      </c>
      <c r="U254" s="10">
        <v>4561</v>
      </c>
      <c r="V254" s="10">
        <v>4949</v>
      </c>
    </row>
    <row r="255" spans="1:22" ht="12.75">
      <c r="A255" s="18" t="s">
        <v>218</v>
      </c>
      <c r="G255" s="9">
        <v>59</v>
      </c>
      <c r="H255" s="9">
        <v>126</v>
      </c>
      <c r="I255" s="9">
        <v>217</v>
      </c>
      <c r="J255" s="9">
        <v>282</v>
      </c>
      <c r="K255" s="9">
        <v>356</v>
      </c>
      <c r="L255" s="9">
        <v>833</v>
      </c>
      <c r="M255" s="9">
        <v>1662</v>
      </c>
      <c r="N255" s="9">
        <v>2951</v>
      </c>
      <c r="O255" s="9">
        <v>3074</v>
      </c>
      <c r="P255" s="9">
        <v>3104</v>
      </c>
      <c r="Q255" s="9">
        <v>3459</v>
      </c>
      <c r="R255" s="10">
        <v>3641</v>
      </c>
      <c r="S255" s="10">
        <v>5399</v>
      </c>
      <c r="T255" s="10">
        <v>8546</v>
      </c>
      <c r="U255" s="10">
        <v>12434</v>
      </c>
      <c r="V255" s="10">
        <v>19100</v>
      </c>
    </row>
    <row r="256" spans="1:22" ht="12.75">
      <c r="A256" s="18" t="s">
        <v>247</v>
      </c>
      <c r="B256" s="10"/>
      <c r="C256" s="10">
        <v>2313</v>
      </c>
      <c r="D256" s="9">
        <f>1623+1484</f>
        <v>3107</v>
      </c>
      <c r="E256" s="10">
        <f>2173+2129</f>
        <v>4302</v>
      </c>
      <c r="F256" s="10">
        <f>3225+2212+1441</f>
        <v>6878</v>
      </c>
      <c r="G256" s="10"/>
      <c r="H256" s="10"/>
      <c r="I256" s="10"/>
      <c r="J256" s="10"/>
      <c r="K256" s="10"/>
      <c r="L256" s="10">
        <f aca="true" t="shared" si="37" ref="L256:V256">SUM(L245:L255)</f>
        <v>29293</v>
      </c>
      <c r="M256" s="10">
        <f t="shared" si="37"/>
        <v>33643</v>
      </c>
      <c r="N256" s="10">
        <f t="shared" si="37"/>
        <v>37610</v>
      </c>
      <c r="O256" s="10">
        <f t="shared" si="37"/>
        <v>39362</v>
      </c>
      <c r="P256" s="10">
        <f t="shared" si="37"/>
        <v>42716</v>
      </c>
      <c r="Q256" s="10">
        <f t="shared" si="37"/>
        <v>46652</v>
      </c>
      <c r="R256" s="10">
        <f t="shared" si="37"/>
        <v>50446</v>
      </c>
      <c r="S256" s="10">
        <f t="shared" si="37"/>
        <v>54882</v>
      </c>
      <c r="T256" s="10">
        <f t="shared" si="37"/>
        <v>60367</v>
      </c>
      <c r="U256" s="10">
        <f t="shared" si="37"/>
        <v>61475</v>
      </c>
      <c r="V256" s="10">
        <f t="shared" si="37"/>
        <v>65568</v>
      </c>
    </row>
    <row r="257" spans="1:22" ht="12.75">
      <c r="A257" s="18" t="s">
        <v>330</v>
      </c>
      <c r="B257" s="10">
        <v>2854</v>
      </c>
      <c r="C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ht="12.75">
      <c r="A258" s="18" t="s">
        <v>86</v>
      </c>
      <c r="B258" s="37">
        <v>24100</v>
      </c>
      <c r="C258" s="37">
        <v>27200</v>
      </c>
      <c r="D258" s="37">
        <v>29500</v>
      </c>
      <c r="E258" s="37">
        <v>32300</v>
      </c>
      <c r="F258" s="37">
        <v>36900</v>
      </c>
      <c r="G258" s="37">
        <v>41500</v>
      </c>
      <c r="H258" s="37">
        <v>47100</v>
      </c>
      <c r="I258" s="37">
        <v>51300</v>
      </c>
      <c r="J258" s="37">
        <v>55300</v>
      </c>
      <c r="K258" s="37">
        <v>59700</v>
      </c>
      <c r="L258" s="37">
        <v>62135</v>
      </c>
      <c r="M258" s="37">
        <v>67946</v>
      </c>
      <c r="N258" s="37">
        <v>75359</v>
      </c>
      <c r="O258" s="37">
        <v>80015</v>
      </c>
      <c r="P258" s="37">
        <v>86529</v>
      </c>
      <c r="Q258" s="37">
        <v>92507</v>
      </c>
      <c r="R258" s="39">
        <v>98815</v>
      </c>
      <c r="S258" s="39">
        <v>108300</v>
      </c>
      <c r="T258" s="39">
        <v>123887</v>
      </c>
      <c r="U258" s="39">
        <v>140201</v>
      </c>
      <c r="V258" s="39">
        <v>165344</v>
      </c>
    </row>
    <row r="259" spans="1:22" ht="12.75">
      <c r="A259" s="40" t="s">
        <v>339</v>
      </c>
      <c r="B259" s="10">
        <f>B260-SUM(B238:B257)</f>
        <v>-1</v>
      </c>
      <c r="C259" s="10">
        <f aca="true" t="shared" si="38" ref="C259:K259">C260-SUM(C238:C256)</f>
        <v>0</v>
      </c>
      <c r="D259" s="10">
        <f t="shared" si="38"/>
        <v>1</v>
      </c>
      <c r="E259" s="10">
        <f t="shared" si="38"/>
        <v>1</v>
      </c>
      <c r="F259" s="10">
        <f t="shared" si="38"/>
        <v>0</v>
      </c>
      <c r="G259" s="10">
        <f t="shared" si="38"/>
        <v>-2</v>
      </c>
      <c r="H259" s="10">
        <f t="shared" si="38"/>
        <v>1</v>
      </c>
      <c r="I259" s="10">
        <f t="shared" si="38"/>
        <v>1</v>
      </c>
      <c r="J259" s="10">
        <f t="shared" si="38"/>
        <v>1</v>
      </c>
      <c r="K259" s="45">
        <f t="shared" si="38"/>
        <v>-3</v>
      </c>
      <c r="L259" s="10">
        <f aca="true" t="shared" si="39" ref="L259:V259">L37-SUM(L238:L255)</f>
        <v>0</v>
      </c>
      <c r="M259" s="10">
        <f t="shared" si="39"/>
        <v>0</v>
      </c>
      <c r="N259" s="10">
        <f t="shared" si="39"/>
        <v>1</v>
      </c>
      <c r="O259" s="10">
        <f t="shared" si="39"/>
        <v>-1</v>
      </c>
      <c r="P259" s="10">
        <f t="shared" si="39"/>
        <v>2</v>
      </c>
      <c r="Q259" s="10">
        <f t="shared" si="39"/>
        <v>-1</v>
      </c>
      <c r="R259" s="10">
        <f t="shared" si="39"/>
        <v>0</v>
      </c>
      <c r="S259" s="10">
        <f t="shared" si="39"/>
        <v>1</v>
      </c>
      <c r="T259" s="10">
        <f t="shared" si="39"/>
        <v>0</v>
      </c>
      <c r="U259" s="10">
        <f t="shared" si="39"/>
        <v>0</v>
      </c>
      <c r="V259" s="10">
        <f t="shared" si="39"/>
        <v>0</v>
      </c>
    </row>
    <row r="260" spans="1:22" ht="12.75">
      <c r="A260" s="18" t="s">
        <v>246</v>
      </c>
      <c r="B260" s="10">
        <v>35107</v>
      </c>
      <c r="C260" s="10">
        <v>36154</v>
      </c>
      <c r="D260" s="10">
        <v>37329</v>
      </c>
      <c r="E260" s="10">
        <v>37934</v>
      </c>
      <c r="F260" s="10">
        <v>38754</v>
      </c>
      <c r="G260" s="10">
        <v>40054</v>
      </c>
      <c r="H260" s="10">
        <v>41336</v>
      </c>
      <c r="I260" s="10">
        <v>41945</v>
      </c>
      <c r="J260" s="10">
        <v>43293</v>
      </c>
      <c r="K260" s="10">
        <v>43535</v>
      </c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8:22" ht="12.75">
      <c r="R261" s="10"/>
      <c r="S261" s="10"/>
      <c r="T261" s="10"/>
      <c r="U261" s="10"/>
      <c r="V261" s="10"/>
    </row>
    <row r="262" spans="1:22" ht="12.75">
      <c r="A262" s="18" t="s">
        <v>219</v>
      </c>
      <c r="R262" s="10"/>
      <c r="S262" s="10"/>
      <c r="T262" s="10"/>
      <c r="U262" s="10"/>
      <c r="V262" s="10"/>
    </row>
    <row r="263" spans="1:22" ht="12.75">
      <c r="A263" s="18" t="s">
        <v>220</v>
      </c>
      <c r="B263" s="9">
        <v>9765</v>
      </c>
      <c r="C263" s="9">
        <v>10345</v>
      </c>
      <c r="D263" s="9">
        <v>10158</v>
      </c>
      <c r="E263" s="9">
        <v>9672</v>
      </c>
      <c r="F263" s="9">
        <v>8760</v>
      </c>
      <c r="G263" s="9">
        <v>8024</v>
      </c>
      <c r="H263" s="9">
        <v>7612</v>
      </c>
      <c r="I263" s="9">
        <v>7714</v>
      </c>
      <c r="J263" s="9">
        <v>8229</v>
      </c>
      <c r="K263" s="9">
        <v>9296</v>
      </c>
      <c r="L263" s="9">
        <v>16704</v>
      </c>
      <c r="M263" s="9">
        <v>17168</v>
      </c>
      <c r="N263" s="9">
        <v>17355</v>
      </c>
      <c r="O263" s="9">
        <v>17522</v>
      </c>
      <c r="P263" s="9">
        <v>17632</v>
      </c>
      <c r="Q263" s="9">
        <v>18331</v>
      </c>
      <c r="R263" s="10">
        <v>18799</v>
      </c>
      <c r="S263" s="10">
        <v>19599</v>
      </c>
      <c r="T263" s="10">
        <v>18499</v>
      </c>
      <c r="U263" s="10">
        <v>16657</v>
      </c>
      <c r="V263" s="10">
        <v>14387</v>
      </c>
    </row>
    <row r="264" spans="1:22" ht="12.75">
      <c r="A264" s="18" t="s">
        <v>221</v>
      </c>
      <c r="B264" s="9">
        <v>6802</v>
      </c>
      <c r="C264" s="9">
        <v>6960</v>
      </c>
      <c r="D264" s="9">
        <v>7187</v>
      </c>
      <c r="E264" s="9">
        <v>7175</v>
      </c>
      <c r="F264" s="9">
        <v>7052</v>
      </c>
      <c r="G264" s="9">
        <v>6456</v>
      </c>
      <c r="H264" s="9">
        <v>6436</v>
      </c>
      <c r="I264" s="9">
        <v>6683</v>
      </c>
      <c r="J264" s="9">
        <v>7336</v>
      </c>
      <c r="K264" s="9">
        <v>7585</v>
      </c>
      <c r="L264" s="9">
        <v>8290</v>
      </c>
      <c r="M264" s="9">
        <v>7744</v>
      </c>
      <c r="N264" s="9">
        <v>7829</v>
      </c>
      <c r="O264" s="9">
        <v>7788</v>
      </c>
      <c r="P264" s="9">
        <v>8153</v>
      </c>
      <c r="Q264" s="9">
        <v>8377</v>
      </c>
      <c r="R264" s="10">
        <v>9528</v>
      </c>
      <c r="S264" s="10">
        <v>9832</v>
      </c>
      <c r="T264" s="10">
        <v>9848</v>
      </c>
      <c r="U264" s="10">
        <v>8598</v>
      </c>
      <c r="V264" s="10">
        <v>7559</v>
      </c>
    </row>
    <row r="265" spans="1:22" ht="12.75">
      <c r="A265" s="18" t="s">
        <v>222</v>
      </c>
      <c r="B265" s="9">
        <v>5025</v>
      </c>
      <c r="C265" s="9">
        <v>5344</v>
      </c>
      <c r="D265" s="9">
        <v>5468</v>
      </c>
      <c r="E265" s="9">
        <v>5770</v>
      </c>
      <c r="F265" s="9">
        <v>5817</v>
      </c>
      <c r="G265" s="9">
        <v>6088</v>
      </c>
      <c r="H265" s="9">
        <v>6113</v>
      </c>
      <c r="I265" s="9">
        <v>6090</v>
      </c>
      <c r="J265" s="9">
        <v>6392</v>
      </c>
      <c r="K265" s="9">
        <v>6275</v>
      </c>
      <c r="L265" s="9">
        <v>7102</v>
      </c>
      <c r="M265" s="9">
        <v>7171</v>
      </c>
      <c r="N265" s="9">
        <v>6992</v>
      </c>
      <c r="O265" s="9">
        <v>7068</v>
      </c>
      <c r="P265" s="9">
        <v>7097</v>
      </c>
      <c r="Q265" s="9">
        <v>7522</v>
      </c>
      <c r="R265" s="10">
        <v>7971</v>
      </c>
      <c r="S265" s="10">
        <v>8018</v>
      </c>
      <c r="T265" s="10">
        <v>8096</v>
      </c>
      <c r="U265" s="10">
        <v>7754</v>
      </c>
      <c r="V265" s="10">
        <v>7542</v>
      </c>
    </row>
    <row r="266" spans="1:22" ht="12.75">
      <c r="A266" s="18" t="s">
        <v>223</v>
      </c>
      <c r="B266" s="9">
        <v>3431</v>
      </c>
      <c r="C266" s="9">
        <v>3678</v>
      </c>
      <c r="D266" s="9">
        <v>3773</v>
      </c>
      <c r="E266" s="9">
        <v>3988</v>
      </c>
      <c r="F266" s="9">
        <v>4279</v>
      </c>
      <c r="G266" s="9">
        <v>4641</v>
      </c>
      <c r="H266" s="9">
        <v>4779</v>
      </c>
      <c r="I266" s="9">
        <v>4796</v>
      </c>
      <c r="J266" s="9">
        <v>4569</v>
      </c>
      <c r="K266" s="9">
        <v>4484</v>
      </c>
      <c r="L266" s="9">
        <v>4957</v>
      </c>
      <c r="M266" s="9">
        <v>5182</v>
      </c>
      <c r="N266" s="9">
        <v>5184</v>
      </c>
      <c r="O266" s="9">
        <v>5160</v>
      </c>
      <c r="P266" s="9">
        <v>5274</v>
      </c>
      <c r="Q266" s="9">
        <v>5558</v>
      </c>
      <c r="R266" s="10">
        <v>5513</v>
      </c>
      <c r="S266" s="10">
        <v>6004</v>
      </c>
      <c r="T266" s="10">
        <v>6502</v>
      </c>
      <c r="U266" s="10">
        <v>6795</v>
      </c>
      <c r="V266" s="10">
        <v>6131</v>
      </c>
    </row>
    <row r="267" spans="1:32" ht="12.75">
      <c r="A267" s="18" t="s">
        <v>224</v>
      </c>
      <c r="B267" s="9">
        <v>3815</v>
      </c>
      <c r="C267" s="9">
        <v>3836</v>
      </c>
      <c r="D267" s="9">
        <v>4182</v>
      </c>
      <c r="E267" s="9">
        <v>4418</v>
      </c>
      <c r="F267" s="9">
        <v>4867</v>
      </c>
      <c r="G267" s="9">
        <v>5480</v>
      </c>
      <c r="H267" s="9">
        <v>5780</v>
      </c>
      <c r="I267" s="9">
        <v>5771</v>
      </c>
      <c r="J267" s="9">
        <v>5834</v>
      </c>
      <c r="K267" s="9">
        <v>5375</v>
      </c>
      <c r="L267" s="9">
        <v>5987</v>
      </c>
      <c r="M267" s="9">
        <v>6428</v>
      </c>
      <c r="N267" s="9">
        <v>6669</v>
      </c>
      <c r="O267" s="9">
        <v>6704</v>
      </c>
      <c r="P267" s="9">
        <v>6908</v>
      </c>
      <c r="Q267" s="9">
        <v>7240</v>
      </c>
      <c r="R267" s="10">
        <v>6780</v>
      </c>
      <c r="S267" s="10">
        <v>7308</v>
      </c>
      <c r="T267" s="10">
        <v>8564</v>
      </c>
      <c r="U267" s="10">
        <v>8926</v>
      </c>
      <c r="V267" s="10">
        <v>9865</v>
      </c>
      <c r="AF267" s="9"/>
    </row>
    <row r="268" spans="1:32" ht="12.75">
      <c r="A268" s="18" t="s">
        <v>225</v>
      </c>
      <c r="F268" s="9">
        <v>2427</v>
      </c>
      <c r="G268" s="9">
        <v>2814</v>
      </c>
      <c r="H268" s="9">
        <v>3100</v>
      </c>
      <c r="I268" s="9">
        <v>3021</v>
      </c>
      <c r="J268" s="9">
        <v>3128</v>
      </c>
      <c r="K268" s="9">
        <v>3119</v>
      </c>
      <c r="L268" s="9">
        <v>3501</v>
      </c>
      <c r="M268" s="9">
        <v>3867</v>
      </c>
      <c r="N268" s="9">
        <v>3931</v>
      </c>
      <c r="O268" s="9">
        <v>3987</v>
      </c>
      <c r="P268" s="9">
        <v>3988</v>
      </c>
      <c r="Q268" s="9">
        <v>3866</v>
      </c>
      <c r="R268" s="10">
        <v>3804</v>
      </c>
      <c r="S268" s="10">
        <v>4242</v>
      </c>
      <c r="T268" s="10">
        <v>4810</v>
      </c>
      <c r="U268" s="10">
        <v>5400</v>
      </c>
      <c r="V268" s="10">
        <v>6287</v>
      </c>
      <c r="AF268" s="9"/>
    </row>
    <row r="269" spans="1:32" ht="12.75">
      <c r="A269" s="18" t="s">
        <v>226</v>
      </c>
      <c r="F269" s="9">
        <v>5394</v>
      </c>
      <c r="G269" s="9">
        <v>6355</v>
      </c>
      <c r="H269" s="9">
        <v>7360</v>
      </c>
      <c r="I269" s="9">
        <v>7609</v>
      </c>
      <c r="J269" s="9">
        <v>7520</v>
      </c>
      <c r="K269" s="9">
        <v>7193</v>
      </c>
      <c r="L269" s="9">
        <v>9021</v>
      </c>
      <c r="M269" s="9">
        <v>10233</v>
      </c>
      <c r="N269" s="9">
        <v>11398</v>
      </c>
      <c r="O269" s="9">
        <v>10973</v>
      </c>
      <c r="P269" s="9">
        <v>11291</v>
      </c>
      <c r="Q269" s="9">
        <v>11428</v>
      </c>
      <c r="R269" s="10">
        <v>11954</v>
      </c>
      <c r="S269" s="10">
        <v>12601</v>
      </c>
      <c r="T269" s="10">
        <v>14392</v>
      </c>
      <c r="U269" s="10">
        <v>16801</v>
      </c>
      <c r="V269" s="10">
        <v>22317</v>
      </c>
      <c r="AF269" s="9"/>
    </row>
    <row r="270" spans="1:32" ht="12.75">
      <c r="A270" s="18" t="s">
        <v>249</v>
      </c>
      <c r="B270" s="10">
        <v>5917</v>
      </c>
      <c r="C270" s="10">
        <v>5890</v>
      </c>
      <c r="D270" s="9">
        <v>6420</v>
      </c>
      <c r="E270" s="10">
        <v>6755</v>
      </c>
      <c r="F270" s="10"/>
      <c r="G270" s="10"/>
      <c r="H270" s="10"/>
      <c r="I270" s="10"/>
      <c r="J270" s="10"/>
      <c r="K270" s="10"/>
      <c r="L270" s="10">
        <f aca="true" t="shared" si="40" ref="L270:V270">SUM(L268:L269)</f>
        <v>12522</v>
      </c>
      <c r="M270" s="10">
        <f t="shared" si="40"/>
        <v>14100</v>
      </c>
      <c r="N270" s="10">
        <f t="shared" si="40"/>
        <v>15329</v>
      </c>
      <c r="O270" s="10">
        <f t="shared" si="40"/>
        <v>14960</v>
      </c>
      <c r="P270" s="10">
        <f t="shared" si="40"/>
        <v>15279</v>
      </c>
      <c r="Q270" s="10">
        <f t="shared" si="40"/>
        <v>15294</v>
      </c>
      <c r="R270" s="10">
        <f t="shared" si="40"/>
        <v>15758</v>
      </c>
      <c r="S270" s="10">
        <f t="shared" si="40"/>
        <v>16843</v>
      </c>
      <c r="T270" s="10">
        <f t="shared" si="40"/>
        <v>19202</v>
      </c>
      <c r="U270" s="10">
        <f t="shared" si="40"/>
        <v>22201</v>
      </c>
      <c r="V270" s="10">
        <f t="shared" si="40"/>
        <v>28604</v>
      </c>
      <c r="AF270" s="9"/>
    </row>
    <row r="271" spans="1:32" ht="12.75">
      <c r="A271" s="18" t="s">
        <v>248</v>
      </c>
      <c r="B271" s="9">
        <v>353</v>
      </c>
      <c r="C271" s="9">
        <v>101</v>
      </c>
      <c r="D271" s="9">
        <v>142</v>
      </c>
      <c r="E271" s="9">
        <v>156</v>
      </c>
      <c r="F271" s="9">
        <v>158</v>
      </c>
      <c r="G271" s="9">
        <v>195</v>
      </c>
      <c r="H271" s="9">
        <v>156</v>
      </c>
      <c r="I271" s="9">
        <v>261</v>
      </c>
      <c r="J271" s="9">
        <v>285</v>
      </c>
      <c r="K271" s="9">
        <v>207</v>
      </c>
      <c r="L271" s="9">
        <v>583</v>
      </c>
      <c r="M271" s="9">
        <v>372</v>
      </c>
      <c r="N271" s="9">
        <v>557</v>
      </c>
      <c r="O271" s="9">
        <v>595</v>
      </c>
      <c r="P271" s="9">
        <v>909</v>
      </c>
      <c r="Q271" s="9">
        <v>1221</v>
      </c>
      <c r="R271" s="10">
        <v>1207</v>
      </c>
      <c r="S271" s="10">
        <v>1191</v>
      </c>
      <c r="T271" s="10">
        <v>1555</v>
      </c>
      <c r="U271" s="10">
        <v>1307</v>
      </c>
      <c r="V271" s="10">
        <v>842</v>
      </c>
      <c r="AF271" s="9"/>
    </row>
    <row r="272" spans="1:32" ht="12.75">
      <c r="A272" s="18" t="s">
        <v>86</v>
      </c>
      <c r="B272" s="49"/>
      <c r="C272" s="49"/>
      <c r="D272" s="49">
        <v>2.1</v>
      </c>
      <c r="E272" s="49">
        <v>2.2</v>
      </c>
      <c r="F272" s="49">
        <v>2.3</v>
      </c>
      <c r="G272" s="49">
        <v>2.4</v>
      </c>
      <c r="H272" s="49">
        <v>2.5</v>
      </c>
      <c r="I272" s="49">
        <v>2.5</v>
      </c>
      <c r="J272" s="49">
        <v>2.5</v>
      </c>
      <c r="K272" s="49">
        <v>2.4</v>
      </c>
      <c r="L272" s="49">
        <v>2.2</v>
      </c>
      <c r="M272" s="49">
        <v>2.3</v>
      </c>
      <c r="N272" s="49">
        <v>2.3</v>
      </c>
      <c r="O272" s="49">
        <v>2.3</v>
      </c>
      <c r="P272" s="30">
        <v>2.3</v>
      </c>
      <c r="Q272" s="30">
        <v>2.3</v>
      </c>
      <c r="R272" s="32">
        <v>2.2</v>
      </c>
      <c r="S272" s="32">
        <v>2.3</v>
      </c>
      <c r="T272" s="32">
        <v>2.4</v>
      </c>
      <c r="U272" s="32">
        <v>2.7</v>
      </c>
      <c r="V272" s="32">
        <v>3.1</v>
      </c>
      <c r="AF272" s="9"/>
    </row>
    <row r="273" spans="1:32" ht="12.75">
      <c r="A273" s="40" t="s">
        <v>339</v>
      </c>
      <c r="B273" s="9">
        <f aca="true" t="shared" si="41" ref="B273:K273">B260-SUM(B263:B271)</f>
        <v>-1</v>
      </c>
      <c r="C273" s="9">
        <f t="shared" si="41"/>
        <v>0</v>
      </c>
      <c r="D273" s="9">
        <f t="shared" si="41"/>
        <v>-1</v>
      </c>
      <c r="E273" s="9">
        <f t="shared" si="41"/>
        <v>0</v>
      </c>
      <c r="F273" s="9">
        <f t="shared" si="41"/>
        <v>0</v>
      </c>
      <c r="G273" s="9">
        <f t="shared" si="41"/>
        <v>1</v>
      </c>
      <c r="H273" s="9">
        <f t="shared" si="41"/>
        <v>0</v>
      </c>
      <c r="I273" s="9">
        <f t="shared" si="41"/>
        <v>0</v>
      </c>
      <c r="J273" s="9">
        <f t="shared" si="41"/>
        <v>0</v>
      </c>
      <c r="K273" s="9">
        <f t="shared" si="41"/>
        <v>1</v>
      </c>
      <c r="L273" s="10">
        <f aca="true" t="shared" si="42" ref="L273:V273">L37-SUM(L263:L271)+L270</f>
        <v>0</v>
      </c>
      <c r="M273" s="10">
        <f t="shared" si="42"/>
        <v>-1</v>
      </c>
      <c r="N273" s="10">
        <f t="shared" si="42"/>
        <v>1</v>
      </c>
      <c r="O273" s="10">
        <f t="shared" si="42"/>
        <v>-1</v>
      </c>
      <c r="P273" s="10">
        <f t="shared" si="42"/>
        <v>0</v>
      </c>
      <c r="Q273" s="10">
        <f t="shared" si="42"/>
        <v>1</v>
      </c>
      <c r="R273" s="45">
        <f t="shared" si="42"/>
        <v>-69</v>
      </c>
      <c r="S273" s="10">
        <f t="shared" si="42"/>
        <v>1</v>
      </c>
      <c r="T273" s="10">
        <f t="shared" si="42"/>
        <v>-1</v>
      </c>
      <c r="U273" s="10">
        <f t="shared" si="42"/>
        <v>0</v>
      </c>
      <c r="V273" s="10">
        <f t="shared" si="42"/>
        <v>1</v>
      </c>
      <c r="AF273" s="9"/>
    </row>
    <row r="274" spans="19:22" ht="12.75">
      <c r="S274" s="10"/>
      <c r="T274" s="10"/>
      <c r="U274" s="10"/>
      <c r="V274" s="10"/>
    </row>
    <row r="275" spans="18:22" ht="12.75">
      <c r="R275" s="10"/>
      <c r="S275" s="10"/>
      <c r="T275" s="10"/>
      <c r="U275" s="10"/>
      <c r="V275" s="10"/>
    </row>
    <row r="276" spans="1:32" ht="12.75">
      <c r="A276" s="18" t="s">
        <v>97</v>
      </c>
      <c r="B276" s="52" t="s">
        <v>322</v>
      </c>
      <c r="R276" s="10"/>
      <c r="S276" s="10"/>
      <c r="T276" s="10"/>
      <c r="U276" s="10"/>
      <c r="V276" s="10"/>
      <c r="AF276" s="9"/>
    </row>
    <row r="277" spans="1:33" ht="12.75">
      <c r="A277" s="18" t="s">
        <v>98</v>
      </c>
      <c r="B277" s="9">
        <v>12607</v>
      </c>
      <c r="C277" s="9">
        <v>13195</v>
      </c>
      <c r="D277" s="9">
        <v>13829</v>
      </c>
      <c r="E277" s="9">
        <v>13845</v>
      </c>
      <c r="F277" s="9">
        <v>13865</v>
      </c>
      <c r="G277" s="9">
        <v>14465</v>
      </c>
      <c r="H277" s="9">
        <v>14891</v>
      </c>
      <c r="I277" s="9">
        <v>14867</v>
      </c>
      <c r="J277" s="9">
        <v>15376</v>
      </c>
      <c r="K277" s="9">
        <v>15777</v>
      </c>
      <c r="L277" s="9">
        <v>23950</v>
      </c>
      <c r="M277" s="9">
        <v>25097</v>
      </c>
      <c r="N277" s="9">
        <v>25429</v>
      </c>
      <c r="O277" s="9">
        <v>24454</v>
      </c>
      <c r="P277" s="9">
        <v>24068</v>
      </c>
      <c r="Q277" s="9">
        <v>24518</v>
      </c>
      <c r="R277" s="9">
        <v>25453</v>
      </c>
      <c r="S277" s="9">
        <v>25604</v>
      </c>
      <c r="T277" s="9">
        <v>25675</v>
      </c>
      <c r="U277" s="9">
        <v>25020</v>
      </c>
      <c r="V277" s="9">
        <v>24776</v>
      </c>
      <c r="AG277" s="9"/>
    </row>
    <row r="278" spans="1:33" ht="12.75">
      <c r="A278" s="18" t="s">
        <v>269</v>
      </c>
      <c r="B278" s="9">
        <v>21695</v>
      </c>
      <c r="C278" s="9">
        <v>22959</v>
      </c>
      <c r="D278" s="9">
        <v>23501</v>
      </c>
      <c r="E278" s="9">
        <v>24089</v>
      </c>
      <c r="F278" s="9">
        <v>24889</v>
      </c>
      <c r="G278" s="9">
        <v>25589</v>
      </c>
      <c r="H278" s="9">
        <v>26446</v>
      </c>
      <c r="I278" s="9">
        <v>27079</v>
      </c>
      <c r="J278" s="9">
        <v>27917</v>
      </c>
      <c r="K278" s="9">
        <v>27758</v>
      </c>
      <c r="L278" s="9">
        <v>32195</v>
      </c>
      <c r="M278" s="9">
        <v>33067</v>
      </c>
      <c r="N278" s="9">
        <v>34487</v>
      </c>
      <c r="O278" s="9">
        <v>35342</v>
      </c>
      <c r="P278" s="9">
        <v>37183</v>
      </c>
      <c r="Q278" s="9">
        <v>39026</v>
      </c>
      <c r="R278" s="44"/>
      <c r="S278" s="44" t="s">
        <v>340</v>
      </c>
      <c r="T278" s="9">
        <v>46590</v>
      </c>
      <c r="U278" s="9">
        <v>47218</v>
      </c>
      <c r="V278" s="9">
        <f>V280+V281+V283</f>
        <v>50154</v>
      </c>
      <c r="AG278" s="9"/>
    </row>
    <row r="279" spans="1:33" ht="12.75">
      <c r="A279" s="40" t="s">
        <v>148</v>
      </c>
      <c r="B279" s="52">
        <f aca="true" t="shared" si="43" ref="B279:K279">B260-SUM(B277:B278)</f>
        <v>805</v>
      </c>
      <c r="C279" s="9">
        <f t="shared" si="43"/>
        <v>0</v>
      </c>
      <c r="D279" s="9">
        <f t="shared" si="43"/>
        <v>-1</v>
      </c>
      <c r="E279" s="9">
        <f t="shared" si="43"/>
        <v>0</v>
      </c>
      <c r="F279" s="9">
        <f t="shared" si="43"/>
        <v>0</v>
      </c>
      <c r="G279" s="9">
        <f t="shared" si="43"/>
        <v>0</v>
      </c>
      <c r="H279" s="9">
        <f t="shared" si="43"/>
        <v>-1</v>
      </c>
      <c r="I279" s="9">
        <f t="shared" si="43"/>
        <v>-1</v>
      </c>
      <c r="J279" s="9">
        <f t="shared" si="43"/>
        <v>0</v>
      </c>
      <c r="K279" s="9">
        <f t="shared" si="43"/>
        <v>0</v>
      </c>
      <c r="L279" s="9">
        <f aca="true" t="shared" si="44" ref="L279:V279">L37-SUM(L277:L278)</f>
        <v>0</v>
      </c>
      <c r="M279" s="9">
        <f t="shared" si="44"/>
        <v>0</v>
      </c>
      <c r="N279" s="9">
        <f t="shared" si="44"/>
        <v>0</v>
      </c>
      <c r="O279" s="9">
        <f t="shared" si="44"/>
        <v>0</v>
      </c>
      <c r="P279" s="9">
        <f t="shared" si="44"/>
        <v>1</v>
      </c>
      <c r="Q279" s="9">
        <f t="shared" si="44"/>
        <v>0</v>
      </c>
      <c r="R279" s="9">
        <f t="shared" si="44"/>
        <v>40034</v>
      </c>
      <c r="S279" s="9">
        <f t="shared" si="44"/>
        <v>43192</v>
      </c>
      <c r="T279" s="9">
        <f t="shared" si="44"/>
        <v>0</v>
      </c>
      <c r="U279" s="9">
        <f t="shared" si="44"/>
        <v>0</v>
      </c>
      <c r="V279" s="9">
        <f t="shared" si="44"/>
        <v>1</v>
      </c>
      <c r="AG279" s="9"/>
    </row>
    <row r="280" spans="1:33" ht="12.75">
      <c r="A280" s="18" t="s">
        <v>270</v>
      </c>
      <c r="M280" s="14"/>
      <c r="N280" s="14"/>
      <c r="O280" s="14"/>
      <c r="P280" s="14"/>
      <c r="Q280" s="14" t="s">
        <v>242</v>
      </c>
      <c r="R280" s="9">
        <v>29</v>
      </c>
      <c r="S280" s="46" t="s">
        <v>310</v>
      </c>
      <c r="T280" s="9">
        <v>37</v>
      </c>
      <c r="U280" s="9">
        <v>47</v>
      </c>
      <c r="V280" s="9">
        <v>66</v>
      </c>
      <c r="AG280" s="9"/>
    </row>
    <row r="281" spans="1:33" ht="12.75">
      <c r="A281" s="18" t="s">
        <v>271</v>
      </c>
      <c r="R281" s="44"/>
      <c r="S281" s="44" t="s">
        <v>311</v>
      </c>
      <c r="T281" s="9">
        <v>44970</v>
      </c>
      <c r="U281" s="9">
        <v>45471</v>
      </c>
      <c r="V281" s="9">
        <v>48394</v>
      </c>
      <c r="AG281" s="9"/>
    </row>
    <row r="282" spans="1:33" ht="12.75">
      <c r="A282" s="18" t="s">
        <v>272</v>
      </c>
      <c r="R282" s="44" t="s">
        <v>312</v>
      </c>
      <c r="S282" s="44" t="s">
        <v>312</v>
      </c>
      <c r="T282" s="9">
        <v>41717</v>
      </c>
      <c r="U282" s="9">
        <v>42261</v>
      </c>
      <c r="V282" s="9">
        <v>44652</v>
      </c>
      <c r="AG282" s="9"/>
    </row>
    <row r="283" spans="1:33" ht="12.75">
      <c r="A283" s="18" t="s">
        <v>273</v>
      </c>
      <c r="R283" s="9">
        <v>1443</v>
      </c>
      <c r="S283" s="9">
        <v>1525</v>
      </c>
      <c r="T283" s="9">
        <v>1583</v>
      </c>
      <c r="U283" s="9">
        <v>1700</v>
      </c>
      <c r="V283" s="9">
        <v>1694</v>
      </c>
      <c r="AF283" s="9"/>
      <c r="AG283" s="9"/>
    </row>
    <row r="284" spans="1:32" ht="12.75">
      <c r="A284" s="40" t="s">
        <v>148</v>
      </c>
      <c r="B284" s="80">
        <f aca="true" t="shared" si="45" ref="B284:K284">B260-B277-B278</f>
        <v>805</v>
      </c>
      <c r="C284" s="10">
        <f t="shared" si="45"/>
        <v>0</v>
      </c>
      <c r="D284" s="10">
        <f t="shared" si="45"/>
        <v>-1</v>
      </c>
      <c r="E284" s="10">
        <f t="shared" si="45"/>
        <v>0</v>
      </c>
      <c r="F284" s="10">
        <f t="shared" si="45"/>
        <v>0</v>
      </c>
      <c r="G284" s="10">
        <f t="shared" si="45"/>
        <v>0</v>
      </c>
      <c r="H284" s="10">
        <f t="shared" si="45"/>
        <v>-1</v>
      </c>
      <c r="I284" s="10">
        <f t="shared" si="45"/>
        <v>-1</v>
      </c>
      <c r="J284" s="10">
        <f t="shared" si="45"/>
        <v>0</v>
      </c>
      <c r="K284" s="10">
        <f t="shared" si="45"/>
        <v>0</v>
      </c>
      <c r="L284" s="10"/>
      <c r="M284" s="10"/>
      <c r="N284" s="10"/>
      <c r="O284" s="10"/>
      <c r="P284" s="10"/>
      <c r="Q284" s="10"/>
      <c r="R284" s="10"/>
      <c r="S284" s="10"/>
      <c r="T284" s="10">
        <f>T278-(T280+T281+T283)</f>
        <v>0</v>
      </c>
      <c r="U284" s="10">
        <f>U278-(U280+U281+U283)</f>
        <v>0</v>
      </c>
      <c r="V284" s="10">
        <f>V278-(V280+V281+V283)</f>
        <v>0</v>
      </c>
      <c r="AF284" s="9"/>
    </row>
    <row r="285" spans="18:22" ht="12.75">
      <c r="R285" s="10"/>
      <c r="S285" s="10"/>
      <c r="T285" s="10"/>
      <c r="U285" s="10"/>
      <c r="V285" s="10"/>
    </row>
    <row r="286" spans="1:22" ht="12.75">
      <c r="A286" s="18" t="s">
        <v>231</v>
      </c>
      <c r="B286" s="14" t="s">
        <v>242</v>
      </c>
      <c r="C286" s="14" t="s">
        <v>242</v>
      </c>
      <c r="D286" s="14" t="s">
        <v>242</v>
      </c>
      <c r="E286" s="14" t="s">
        <v>242</v>
      </c>
      <c r="F286" s="14" t="s">
        <v>242</v>
      </c>
      <c r="G286" s="14" t="s">
        <v>242</v>
      </c>
      <c r="H286" s="14" t="s">
        <v>242</v>
      </c>
      <c r="I286" s="14" t="s">
        <v>242</v>
      </c>
      <c r="J286" s="14" t="s">
        <v>242</v>
      </c>
      <c r="K286" s="14" t="s">
        <v>242</v>
      </c>
      <c r="L286" s="9">
        <v>56145</v>
      </c>
      <c r="M286" s="10">
        <v>58164</v>
      </c>
      <c r="N286" s="10">
        <v>59916</v>
      </c>
      <c r="O286" s="10">
        <v>59796</v>
      </c>
      <c r="P286" s="10">
        <v>61252</v>
      </c>
      <c r="Q286" s="10">
        <f aca="true" t="shared" si="46" ref="Q286:V286">Q37</f>
        <v>63544</v>
      </c>
      <c r="R286" s="10">
        <f t="shared" si="46"/>
        <v>65487</v>
      </c>
      <c r="S286" s="10">
        <f t="shared" si="46"/>
        <v>68796</v>
      </c>
      <c r="T286" s="10">
        <f t="shared" si="46"/>
        <v>72265</v>
      </c>
      <c r="U286" s="10">
        <f t="shared" si="46"/>
        <v>72238</v>
      </c>
      <c r="V286" s="10">
        <f t="shared" si="46"/>
        <v>74931</v>
      </c>
    </row>
    <row r="287" spans="1:22" ht="12.75">
      <c r="A287" s="18" t="s">
        <v>227</v>
      </c>
      <c r="B287" s="14" t="s">
        <v>242</v>
      </c>
      <c r="C287" s="14" t="s">
        <v>242</v>
      </c>
      <c r="D287" s="14" t="s">
        <v>242</v>
      </c>
      <c r="E287" s="14" t="s">
        <v>242</v>
      </c>
      <c r="F287" s="14" t="s">
        <v>242</v>
      </c>
      <c r="G287" s="14" t="s">
        <v>242</v>
      </c>
      <c r="H287" s="14" t="s">
        <v>242</v>
      </c>
      <c r="I287" s="14" t="s">
        <v>242</v>
      </c>
      <c r="J287" s="14" t="s">
        <v>242</v>
      </c>
      <c r="K287" s="14" t="s">
        <v>242</v>
      </c>
      <c r="Q287" s="9">
        <v>8474</v>
      </c>
      <c r="R287" s="45"/>
      <c r="S287" s="44" t="s">
        <v>313</v>
      </c>
      <c r="T287" s="10">
        <v>6481</v>
      </c>
      <c r="U287" s="10">
        <v>7217</v>
      </c>
      <c r="V287" s="10">
        <f>587+6835+307+2315</f>
        <v>10044</v>
      </c>
    </row>
    <row r="288" spans="1:22" ht="12.75">
      <c r="A288" s="18" t="s">
        <v>308</v>
      </c>
      <c r="B288" s="14" t="s">
        <v>242</v>
      </c>
      <c r="C288" s="14" t="s">
        <v>242</v>
      </c>
      <c r="D288" s="14" t="s">
        <v>242</v>
      </c>
      <c r="E288" s="14" t="s">
        <v>242</v>
      </c>
      <c r="F288" s="14" t="s">
        <v>242</v>
      </c>
      <c r="G288" s="14" t="s">
        <v>242</v>
      </c>
      <c r="H288" s="14" t="s">
        <v>242</v>
      </c>
      <c r="I288" s="14" t="s">
        <v>242</v>
      </c>
      <c r="J288" s="14" t="s">
        <v>242</v>
      </c>
      <c r="K288" s="14" t="s">
        <v>242</v>
      </c>
      <c r="Q288" s="9">
        <v>2857</v>
      </c>
      <c r="R288" s="44" t="s">
        <v>312</v>
      </c>
      <c r="S288" s="44" t="s">
        <v>312</v>
      </c>
      <c r="T288" s="10">
        <v>4297</v>
      </c>
      <c r="U288" s="10">
        <v>4725</v>
      </c>
      <c r="V288" s="10">
        <f>23+2867+21+1694</f>
        <v>4605</v>
      </c>
    </row>
    <row r="289" spans="1:22" ht="12.75">
      <c r="A289" s="18"/>
      <c r="R289" s="10"/>
      <c r="S289" s="10"/>
      <c r="T289" s="10"/>
      <c r="U289" s="10"/>
      <c r="V289" s="10"/>
    </row>
    <row r="290" spans="1:22" ht="12.75">
      <c r="A290" s="18" t="s">
        <v>230</v>
      </c>
      <c r="B290" s="14" t="s">
        <v>242</v>
      </c>
      <c r="C290" s="14" t="s">
        <v>242</v>
      </c>
      <c r="D290" s="14" t="s">
        <v>242</v>
      </c>
      <c r="E290" s="14" t="s">
        <v>242</v>
      </c>
      <c r="F290" s="14" t="s">
        <v>242</v>
      </c>
      <c r="G290" s="14" t="s">
        <v>242</v>
      </c>
      <c r="H290" s="14" t="s">
        <v>242</v>
      </c>
      <c r="I290" s="14" t="s">
        <v>242</v>
      </c>
      <c r="J290" s="14" t="s">
        <v>242</v>
      </c>
      <c r="K290" s="14" t="s">
        <v>242</v>
      </c>
      <c r="L290" s="9">
        <v>28345</v>
      </c>
      <c r="M290" s="9">
        <v>28857</v>
      </c>
      <c r="N290" s="9">
        <v>29277</v>
      </c>
      <c r="O290" s="9">
        <v>29753</v>
      </c>
      <c r="P290" s="9">
        <v>32302</v>
      </c>
      <c r="Q290" s="9">
        <v>34730</v>
      </c>
      <c r="R290" s="45"/>
      <c r="S290" s="44" t="s">
        <v>314</v>
      </c>
      <c r="T290" s="10">
        <v>29873</v>
      </c>
      <c r="U290" s="10">
        <v>30607</v>
      </c>
      <c r="V290" s="10">
        <v>30039</v>
      </c>
    </row>
    <row r="291" spans="1:32" ht="12.75">
      <c r="A291" s="18" t="s">
        <v>229</v>
      </c>
      <c r="B291" s="14" t="s">
        <v>242</v>
      </c>
      <c r="C291" s="14" t="s">
        <v>242</v>
      </c>
      <c r="D291" s="14" t="s">
        <v>242</v>
      </c>
      <c r="E291" s="14" t="s">
        <v>242</v>
      </c>
      <c r="F291" s="14" t="s">
        <v>242</v>
      </c>
      <c r="G291" s="14" t="s">
        <v>242</v>
      </c>
      <c r="H291" s="14" t="s">
        <v>242</v>
      </c>
      <c r="I291" s="14" t="s">
        <v>242</v>
      </c>
      <c r="J291" s="14" t="s">
        <v>242</v>
      </c>
      <c r="K291" s="14" t="s">
        <v>242</v>
      </c>
      <c r="R291" s="14" t="s">
        <v>242</v>
      </c>
      <c r="S291" s="14" t="s">
        <v>242</v>
      </c>
      <c r="T291" s="10">
        <v>4136</v>
      </c>
      <c r="U291" s="10">
        <v>3946</v>
      </c>
      <c r="V291" s="10">
        <v>3759</v>
      </c>
      <c r="AF291" s="9"/>
    </row>
    <row r="292" spans="1:22" ht="12.75">
      <c r="A292" s="18" t="s">
        <v>99</v>
      </c>
      <c r="B292" s="14" t="s">
        <v>242</v>
      </c>
      <c r="C292" s="14" t="s">
        <v>242</v>
      </c>
      <c r="D292" s="14" t="s">
        <v>242</v>
      </c>
      <c r="E292" s="14" t="s">
        <v>242</v>
      </c>
      <c r="F292" s="14" t="s">
        <v>242</v>
      </c>
      <c r="G292" s="14" t="s">
        <v>242</v>
      </c>
      <c r="H292" s="14" t="s">
        <v>242</v>
      </c>
      <c r="I292" s="14" t="s">
        <v>242</v>
      </c>
      <c r="J292" s="14" t="s">
        <v>242</v>
      </c>
      <c r="K292" s="14" t="s">
        <v>242</v>
      </c>
      <c r="R292" s="14" t="s">
        <v>242</v>
      </c>
      <c r="S292" s="14" t="s">
        <v>242</v>
      </c>
      <c r="T292" s="10">
        <v>924</v>
      </c>
      <c r="U292" s="10">
        <v>872</v>
      </c>
      <c r="V292" s="10">
        <v>846</v>
      </c>
    </row>
    <row r="293" spans="1:22" ht="12.75">
      <c r="A293" s="18"/>
      <c r="R293" s="10"/>
      <c r="S293" s="10"/>
      <c r="T293" s="10"/>
      <c r="U293" s="10"/>
      <c r="V293" s="10"/>
    </row>
    <row r="294" spans="1:22" ht="12.75">
      <c r="A294" s="18" t="s">
        <v>228</v>
      </c>
      <c r="B294" s="14" t="s">
        <v>242</v>
      </c>
      <c r="C294" s="14" t="s">
        <v>242</v>
      </c>
      <c r="D294" s="14" t="s">
        <v>242</v>
      </c>
      <c r="E294" s="14" t="s">
        <v>242</v>
      </c>
      <c r="F294" s="14" t="s">
        <v>242</v>
      </c>
      <c r="G294" s="14" t="s">
        <v>242</v>
      </c>
      <c r="H294" s="14" t="s">
        <v>242</v>
      </c>
      <c r="I294" s="14" t="s">
        <v>242</v>
      </c>
      <c r="J294" s="14" t="s">
        <v>242</v>
      </c>
      <c r="K294" s="14" t="s">
        <v>242</v>
      </c>
      <c r="R294" s="81">
        <v>35855</v>
      </c>
      <c r="S294" s="1">
        <v>38883</v>
      </c>
      <c r="T294" s="10">
        <f>3090+38627+1661</f>
        <v>43378</v>
      </c>
      <c r="U294" s="10">
        <v>43678</v>
      </c>
      <c r="V294" s="10">
        <f>2958+41694+1427</f>
        <v>46079</v>
      </c>
    </row>
    <row r="296" spans="1:22" ht="12.75">
      <c r="A296" s="18" t="s">
        <v>113</v>
      </c>
      <c r="B296" s="14" t="s">
        <v>242</v>
      </c>
      <c r="C296" s="14" t="s">
        <v>242</v>
      </c>
      <c r="D296" s="14" t="s">
        <v>242</v>
      </c>
      <c r="E296" s="14" t="s">
        <v>242</v>
      </c>
      <c r="F296" s="14" t="s">
        <v>242</v>
      </c>
      <c r="G296" s="14" t="s">
        <v>242</v>
      </c>
      <c r="H296" s="14" t="s">
        <v>242</v>
      </c>
      <c r="I296" s="14" t="s">
        <v>242</v>
      </c>
      <c r="J296" s="14" t="s">
        <v>242</v>
      </c>
      <c r="K296" s="14" t="s">
        <v>242</v>
      </c>
      <c r="R296" s="10"/>
      <c r="S296" s="10"/>
      <c r="T296" s="10"/>
      <c r="U296" s="10"/>
      <c r="V296" s="10"/>
    </row>
    <row r="297" spans="1:32" ht="12.75">
      <c r="A297" s="18" t="s">
        <v>111</v>
      </c>
      <c r="B297" s="14" t="s">
        <v>242</v>
      </c>
      <c r="C297" s="14" t="s">
        <v>242</v>
      </c>
      <c r="D297" s="14" t="s">
        <v>242</v>
      </c>
      <c r="E297" s="14" t="s">
        <v>242</v>
      </c>
      <c r="F297" s="14" t="s">
        <v>242</v>
      </c>
      <c r="G297" s="14" t="s">
        <v>242</v>
      </c>
      <c r="H297" s="14" t="s">
        <v>242</v>
      </c>
      <c r="I297" s="14" t="s">
        <v>242</v>
      </c>
      <c r="J297" s="14" t="s">
        <v>242</v>
      </c>
      <c r="K297" s="14" t="s">
        <v>242</v>
      </c>
      <c r="L297" s="9">
        <v>23827</v>
      </c>
      <c r="M297" s="9">
        <v>22337</v>
      </c>
      <c r="N297" s="9">
        <v>23145</v>
      </c>
      <c r="O297" s="9">
        <v>23293</v>
      </c>
      <c r="P297" s="9">
        <v>21311</v>
      </c>
      <c r="Q297" s="9">
        <v>24393</v>
      </c>
      <c r="R297" s="9">
        <v>31549</v>
      </c>
      <c r="S297" s="9">
        <v>27439</v>
      </c>
      <c r="T297" s="9">
        <v>30230</v>
      </c>
      <c r="U297" s="9">
        <v>26276</v>
      </c>
      <c r="V297" s="9">
        <v>27592</v>
      </c>
      <c r="AF297" s="9"/>
    </row>
    <row r="298" spans="1:22" ht="12.75">
      <c r="A298" s="18" t="s">
        <v>112</v>
      </c>
      <c r="B298" s="14" t="s">
        <v>242</v>
      </c>
      <c r="C298" s="14" t="s">
        <v>242</v>
      </c>
      <c r="D298" s="14" t="s">
        <v>242</v>
      </c>
      <c r="E298" s="14" t="s">
        <v>242</v>
      </c>
      <c r="F298" s="14" t="s">
        <v>242</v>
      </c>
      <c r="G298" s="14" t="s">
        <v>242</v>
      </c>
      <c r="H298" s="14" t="s">
        <v>242</v>
      </c>
      <c r="I298" s="14" t="s">
        <v>242</v>
      </c>
      <c r="J298" s="14" t="s">
        <v>242</v>
      </c>
      <c r="K298" s="14" t="s">
        <v>242</v>
      </c>
      <c r="L298" s="9">
        <v>2504</v>
      </c>
      <c r="M298" s="9">
        <v>4792</v>
      </c>
      <c r="N298" s="9">
        <v>4670</v>
      </c>
      <c r="O298" s="9">
        <v>5204</v>
      </c>
      <c r="P298" s="9">
        <v>9814</v>
      </c>
      <c r="Q298" s="9">
        <v>9848</v>
      </c>
      <c r="R298" s="9">
        <v>3217</v>
      </c>
      <c r="S298" s="9">
        <v>10760</v>
      </c>
      <c r="T298" s="9">
        <v>12569</v>
      </c>
      <c r="U298" s="9">
        <v>17040</v>
      </c>
      <c r="V298" s="9">
        <v>18206</v>
      </c>
    </row>
    <row r="299" spans="1:16" ht="12.75">
      <c r="A299" s="18" t="s">
        <v>316</v>
      </c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M299" s="9">
        <v>89</v>
      </c>
      <c r="N299" s="9">
        <v>74</v>
      </c>
      <c r="O299" s="9">
        <v>121</v>
      </c>
      <c r="P299" s="9">
        <v>163</v>
      </c>
    </row>
    <row r="300" spans="1:22" ht="12.75">
      <c r="A300" s="18" t="s">
        <v>351</v>
      </c>
      <c r="L300" s="9">
        <f>91+2569+55+2113+1037</f>
        <v>5865</v>
      </c>
      <c r="M300" s="9">
        <f>2162+20+2564+1103</f>
        <v>5849</v>
      </c>
      <c r="N300" s="9">
        <f>1903+21+3342+1333</f>
        <v>6599</v>
      </c>
      <c r="O300" s="9">
        <f>1676+32+3977+1038</f>
        <v>6723</v>
      </c>
      <c r="P300" s="9">
        <f>1401+24+3433+1038</f>
        <v>5896</v>
      </c>
      <c r="Q300" s="9">
        <f>1014+19+3682+69</f>
        <v>4784</v>
      </c>
      <c r="R300" s="9">
        <v>1089</v>
      </c>
      <c r="S300" s="9">
        <v>685</v>
      </c>
      <c r="T300" s="9">
        <v>580</v>
      </c>
      <c r="U300" s="9">
        <v>362</v>
      </c>
      <c r="V300" s="9">
        <f>231+11+40</f>
        <v>282</v>
      </c>
    </row>
    <row r="301" spans="1:22" ht="12.75">
      <c r="A301" s="40" t="s">
        <v>148</v>
      </c>
      <c r="L301" s="10">
        <f aca="true" t="shared" si="47" ref="L301:Q301">L278-SUM(L297:L300)</f>
        <v>-1</v>
      </c>
      <c r="M301" s="10">
        <f t="shared" si="47"/>
        <v>0</v>
      </c>
      <c r="N301" s="10">
        <f t="shared" si="47"/>
        <v>-1</v>
      </c>
      <c r="O301" s="10">
        <f t="shared" si="47"/>
        <v>1</v>
      </c>
      <c r="P301" s="81">
        <f t="shared" si="47"/>
        <v>-1</v>
      </c>
      <c r="Q301" s="10">
        <f t="shared" si="47"/>
        <v>1</v>
      </c>
      <c r="R301" s="10">
        <f>R294-R297-R298-R300</f>
        <v>0</v>
      </c>
      <c r="S301" s="10">
        <f>S294-S297-S298-S300</f>
        <v>-1</v>
      </c>
      <c r="T301" s="10">
        <f>T294-T297-T298-T300</f>
        <v>-1</v>
      </c>
      <c r="U301" s="10">
        <f>U294-U297-U298-U299-U300</f>
        <v>0</v>
      </c>
      <c r="V301" s="10">
        <f>V294-V297-V298-V299-V300</f>
        <v>-1</v>
      </c>
    </row>
    <row r="302" spans="16:22" ht="12.75">
      <c r="P302" s="1"/>
      <c r="R302" s="10"/>
      <c r="S302" s="10"/>
      <c r="T302" s="10"/>
      <c r="U302" s="10"/>
      <c r="V302" s="10"/>
    </row>
    <row r="303" spans="1:22" ht="12.75">
      <c r="A303" s="18" t="s">
        <v>105</v>
      </c>
      <c r="R303" s="10"/>
      <c r="S303" s="10"/>
      <c r="T303" s="10"/>
      <c r="U303" s="10"/>
      <c r="V303" s="10"/>
    </row>
    <row r="304" spans="1:22" ht="12.75">
      <c r="A304" s="18" t="s">
        <v>100</v>
      </c>
      <c r="B304" s="14" t="s">
        <v>242</v>
      </c>
      <c r="C304" s="14" t="s">
        <v>242</v>
      </c>
      <c r="D304" s="14" t="s">
        <v>242</v>
      </c>
      <c r="E304" s="14" t="s">
        <v>242</v>
      </c>
      <c r="F304" s="14" t="s">
        <v>242</v>
      </c>
      <c r="G304" s="14" t="s">
        <v>242</v>
      </c>
      <c r="H304" s="14" t="s">
        <v>242</v>
      </c>
      <c r="I304" s="14" t="s">
        <v>242</v>
      </c>
      <c r="J304" s="14" t="s">
        <v>242</v>
      </c>
      <c r="K304" s="14" t="s">
        <v>242</v>
      </c>
      <c r="L304" s="9">
        <v>25383</v>
      </c>
      <c r="M304" s="9">
        <v>25599</v>
      </c>
      <c r="N304" s="9">
        <v>25604</v>
      </c>
      <c r="O304" s="9">
        <v>27008</v>
      </c>
      <c r="P304" s="9">
        <v>28147</v>
      </c>
      <c r="Q304" s="9">
        <v>30002</v>
      </c>
      <c r="R304" s="9">
        <v>27590</v>
      </c>
      <c r="S304" s="9">
        <v>31472</v>
      </c>
      <c r="T304" s="9">
        <v>35689</v>
      </c>
      <c r="U304" s="9">
        <v>36221</v>
      </c>
      <c r="V304" s="9">
        <v>37392</v>
      </c>
    </row>
    <row r="305" spans="1:22" ht="12.75">
      <c r="A305" s="18" t="s">
        <v>101</v>
      </c>
      <c r="B305" s="14" t="s">
        <v>242</v>
      </c>
      <c r="C305" s="14" t="s">
        <v>242</v>
      </c>
      <c r="D305" s="14" t="s">
        <v>242</v>
      </c>
      <c r="E305" s="14" t="s">
        <v>242</v>
      </c>
      <c r="F305" s="14" t="s">
        <v>242</v>
      </c>
      <c r="G305" s="14" t="s">
        <v>242</v>
      </c>
      <c r="H305" s="14" t="s">
        <v>242</v>
      </c>
      <c r="I305" s="14" t="s">
        <v>242</v>
      </c>
      <c r="J305" s="14" t="s">
        <v>242</v>
      </c>
      <c r="K305" s="14" t="s">
        <v>242</v>
      </c>
      <c r="L305" s="9">
        <v>2191</v>
      </c>
      <c r="M305" s="9">
        <v>2791</v>
      </c>
      <c r="N305" s="9">
        <v>3617</v>
      </c>
      <c r="O305" s="9">
        <v>3103</v>
      </c>
      <c r="P305" s="9">
        <v>3670</v>
      </c>
      <c r="Q305" s="9">
        <v>4473</v>
      </c>
      <c r="R305" s="9">
        <v>2955</v>
      </c>
      <c r="S305" s="9">
        <v>2057</v>
      </c>
      <c r="T305" s="9">
        <v>1964</v>
      </c>
      <c r="U305" s="9">
        <v>1695</v>
      </c>
      <c r="V305" s="9">
        <v>2441</v>
      </c>
    </row>
    <row r="306" spans="1:22" ht="12.75">
      <c r="A306" s="18" t="s">
        <v>102</v>
      </c>
      <c r="B306" s="14" t="s">
        <v>242</v>
      </c>
      <c r="C306" s="14" t="s">
        <v>242</v>
      </c>
      <c r="D306" s="14" t="s">
        <v>242</v>
      </c>
      <c r="E306" s="14" t="s">
        <v>242</v>
      </c>
      <c r="F306" s="14" t="s">
        <v>242</v>
      </c>
      <c r="G306" s="14" t="s">
        <v>242</v>
      </c>
      <c r="H306" s="14" t="s">
        <v>242</v>
      </c>
      <c r="I306" s="14" t="s">
        <v>242</v>
      </c>
      <c r="J306" s="14" t="s">
        <v>242</v>
      </c>
      <c r="K306" s="14" t="s">
        <v>242</v>
      </c>
      <c r="L306" s="9">
        <v>56</v>
      </c>
      <c r="M306" s="9">
        <v>38</v>
      </c>
      <c r="N306" s="9">
        <v>79</v>
      </c>
      <c r="O306" s="9">
        <v>69</v>
      </c>
      <c r="P306" s="9">
        <v>79</v>
      </c>
      <c r="Q306" s="9">
        <v>0</v>
      </c>
      <c r="R306" s="9">
        <v>256</v>
      </c>
      <c r="S306" s="9">
        <v>277</v>
      </c>
      <c r="T306" s="9">
        <v>504</v>
      </c>
      <c r="U306" s="9">
        <v>113</v>
      </c>
      <c r="V306" s="9">
        <v>160</v>
      </c>
    </row>
    <row r="307" spans="1:22" ht="12.75">
      <c r="A307" s="18" t="s">
        <v>103</v>
      </c>
      <c r="B307" s="14" t="s">
        <v>242</v>
      </c>
      <c r="C307" s="14" t="s">
        <v>242</v>
      </c>
      <c r="D307" s="14" t="s">
        <v>242</v>
      </c>
      <c r="E307" s="14" t="s">
        <v>242</v>
      </c>
      <c r="F307" s="14" t="s">
        <v>242</v>
      </c>
      <c r="G307" s="14" t="s">
        <v>242</v>
      </c>
      <c r="H307" s="14" t="s">
        <v>242</v>
      </c>
      <c r="I307" s="14" t="s">
        <v>242</v>
      </c>
      <c r="J307" s="14" t="s">
        <v>242</v>
      </c>
      <c r="K307" s="14" t="s">
        <v>242</v>
      </c>
      <c r="L307" s="9">
        <v>585</v>
      </c>
      <c r="M307" s="9">
        <v>362</v>
      </c>
      <c r="N307" s="9">
        <v>462</v>
      </c>
      <c r="O307" s="9">
        <v>434</v>
      </c>
      <c r="P307" s="9">
        <v>332</v>
      </c>
      <c r="Q307" s="9">
        <v>370</v>
      </c>
      <c r="R307" s="9">
        <v>376</v>
      </c>
      <c r="S307" s="9">
        <v>363</v>
      </c>
      <c r="T307" s="9">
        <v>382</v>
      </c>
      <c r="U307" s="9">
        <v>286</v>
      </c>
      <c r="V307" s="9">
        <v>517</v>
      </c>
    </row>
    <row r="308" spans="1:22" ht="12.75">
      <c r="A308" s="18" t="s">
        <v>104</v>
      </c>
      <c r="B308" s="14" t="s">
        <v>242</v>
      </c>
      <c r="C308" s="14" t="s">
        <v>242</v>
      </c>
      <c r="D308" s="14" t="s">
        <v>242</v>
      </c>
      <c r="E308" s="14" t="s">
        <v>242</v>
      </c>
      <c r="F308" s="14" t="s">
        <v>242</v>
      </c>
      <c r="G308" s="14" t="s">
        <v>242</v>
      </c>
      <c r="H308" s="14" t="s">
        <v>242</v>
      </c>
      <c r="I308" s="14" t="s">
        <v>242</v>
      </c>
      <c r="J308" s="14" t="s">
        <v>242</v>
      </c>
      <c r="K308" s="14" t="s">
        <v>242</v>
      </c>
      <c r="L308" s="9">
        <v>303</v>
      </c>
      <c r="M308" s="9">
        <v>228</v>
      </c>
      <c r="N308" s="9">
        <v>228</v>
      </c>
      <c r="O308" s="9">
        <v>273</v>
      </c>
      <c r="P308" s="9">
        <v>305</v>
      </c>
      <c r="Q308" s="9">
        <v>586</v>
      </c>
      <c r="R308" s="9">
        <v>328</v>
      </c>
      <c r="S308" s="9">
        <v>302</v>
      </c>
      <c r="T308" s="9">
        <v>357</v>
      </c>
      <c r="U308" s="9">
        <v>410</v>
      </c>
      <c r="V308" s="9">
        <v>518</v>
      </c>
    </row>
    <row r="309" spans="1:22" ht="12.75">
      <c r="A309" s="18" t="s">
        <v>52</v>
      </c>
      <c r="B309" s="14" t="s">
        <v>242</v>
      </c>
      <c r="C309" s="14" t="s">
        <v>242</v>
      </c>
      <c r="D309" s="14" t="s">
        <v>242</v>
      </c>
      <c r="E309" s="14" t="s">
        <v>242</v>
      </c>
      <c r="F309" s="14" t="s">
        <v>242</v>
      </c>
      <c r="G309" s="14" t="s">
        <v>242</v>
      </c>
      <c r="H309" s="14" t="s">
        <v>242</v>
      </c>
      <c r="I309" s="14" t="s">
        <v>242</v>
      </c>
      <c r="J309" s="14" t="s">
        <v>242</v>
      </c>
      <c r="K309" s="14" t="s">
        <v>242</v>
      </c>
      <c r="L309" s="9">
        <f>352+173</f>
        <v>525</v>
      </c>
      <c r="M309" s="9">
        <f>149+477</f>
        <v>626</v>
      </c>
      <c r="N309" s="9">
        <f>448+247</f>
        <v>695</v>
      </c>
      <c r="O309" s="9">
        <f>455+283</f>
        <v>738</v>
      </c>
      <c r="P309" s="9">
        <f>562+272</f>
        <v>834</v>
      </c>
      <c r="Q309" s="9">
        <f>567+336</f>
        <v>903</v>
      </c>
      <c r="R309" s="9">
        <v>377</v>
      </c>
      <c r="S309" s="9">
        <v>276</v>
      </c>
      <c r="T309" s="9">
        <v>328</v>
      </c>
      <c r="U309" s="9">
        <v>313</v>
      </c>
      <c r="V309" s="9">
        <v>498</v>
      </c>
    </row>
    <row r="310" spans="1:22" ht="12.75">
      <c r="A310" s="18" t="s">
        <v>99</v>
      </c>
      <c r="B310" s="14" t="s">
        <v>242</v>
      </c>
      <c r="C310" s="14" t="s">
        <v>242</v>
      </c>
      <c r="D310" s="14" t="s">
        <v>242</v>
      </c>
      <c r="E310" s="14" t="s">
        <v>242</v>
      </c>
      <c r="F310" s="14" t="s">
        <v>242</v>
      </c>
      <c r="G310" s="14" t="s">
        <v>242</v>
      </c>
      <c r="H310" s="14" t="s">
        <v>242</v>
      </c>
      <c r="I310" s="14" t="s">
        <v>242</v>
      </c>
      <c r="J310" s="14" t="s">
        <v>242</v>
      </c>
      <c r="K310" s="14" t="s">
        <v>242</v>
      </c>
      <c r="L310" s="9">
        <v>3152</v>
      </c>
      <c r="M310" s="9">
        <v>3423</v>
      </c>
      <c r="N310" s="9">
        <v>3801</v>
      </c>
      <c r="O310" s="9">
        <v>3716</v>
      </c>
      <c r="P310" s="9">
        <v>3816</v>
      </c>
      <c r="Q310" s="9">
        <v>2691</v>
      </c>
      <c r="R310" s="9">
        <v>3972</v>
      </c>
      <c r="S310" s="9">
        <v>4138</v>
      </c>
      <c r="T310" s="9">
        <v>4155</v>
      </c>
      <c r="U310" s="9">
        <v>4641</v>
      </c>
      <c r="V310" s="9">
        <v>4553</v>
      </c>
    </row>
    <row r="311" spans="1:22" ht="12.75">
      <c r="A311" s="40" t="s">
        <v>148</v>
      </c>
      <c r="L311" s="9">
        <f aca="true" t="shared" si="48" ref="L311:Q311">L278-SUM(L304:L310)</f>
        <v>0</v>
      </c>
      <c r="M311" s="9">
        <f t="shared" si="48"/>
        <v>0</v>
      </c>
      <c r="N311" s="9">
        <f t="shared" si="48"/>
        <v>1</v>
      </c>
      <c r="O311" s="9">
        <f t="shared" si="48"/>
        <v>1</v>
      </c>
      <c r="P311" s="9">
        <f t="shared" si="48"/>
        <v>0</v>
      </c>
      <c r="Q311" s="9">
        <f t="shared" si="48"/>
        <v>1</v>
      </c>
      <c r="R311" s="9">
        <f>R294-SUM(R304:R310)</f>
        <v>1</v>
      </c>
      <c r="S311" s="9">
        <f>S294-SUM(S304:S310)</f>
        <v>-2</v>
      </c>
      <c r="T311" s="9">
        <f>T294-SUM(T304:T310)</f>
        <v>-1</v>
      </c>
      <c r="U311" s="9">
        <f>U294-SUM(U304:U310)</f>
        <v>-1</v>
      </c>
      <c r="V311" s="9">
        <f>V294-SUM(V304:V310)</f>
        <v>0</v>
      </c>
    </row>
    <row r="312" spans="18:22" ht="12.75">
      <c r="R312" s="10"/>
      <c r="S312" s="10"/>
      <c r="T312" s="10"/>
      <c r="U312" s="10"/>
      <c r="V312" s="10"/>
    </row>
    <row r="313" spans="1:22" ht="12.75">
      <c r="A313" s="18" t="s">
        <v>106</v>
      </c>
      <c r="R313" s="10"/>
      <c r="S313" s="10"/>
      <c r="T313" s="10"/>
      <c r="U313" s="10"/>
      <c r="V313" s="10"/>
    </row>
    <row r="314" spans="1:22" ht="12.75">
      <c r="A314" s="18" t="s">
        <v>107</v>
      </c>
      <c r="B314" s="14" t="s">
        <v>242</v>
      </c>
      <c r="C314" s="14" t="s">
        <v>242</v>
      </c>
      <c r="D314" s="14" t="s">
        <v>242</v>
      </c>
      <c r="E314" s="14" t="s">
        <v>242</v>
      </c>
      <c r="F314" s="14" t="s">
        <v>242</v>
      </c>
      <c r="G314" s="14" t="s">
        <v>242</v>
      </c>
      <c r="H314" s="14" t="s">
        <v>242</v>
      </c>
      <c r="I314" s="14" t="s">
        <v>242</v>
      </c>
      <c r="J314" s="14" t="s">
        <v>242</v>
      </c>
      <c r="K314" s="14" t="s">
        <v>242</v>
      </c>
      <c r="L314" s="9">
        <v>4586</v>
      </c>
      <c r="M314" s="9">
        <v>5098</v>
      </c>
      <c r="N314" s="9">
        <v>5277</v>
      </c>
      <c r="O314" s="9">
        <v>5282</v>
      </c>
      <c r="P314" s="9">
        <v>5367</v>
      </c>
      <c r="Q314" s="9">
        <v>5172</v>
      </c>
      <c r="R314" s="9">
        <v>5065</v>
      </c>
      <c r="S314" s="9">
        <v>5410</v>
      </c>
      <c r="T314" s="9">
        <v>6110</v>
      </c>
      <c r="U314" s="9">
        <v>5341</v>
      </c>
      <c r="V314" s="9">
        <v>4689</v>
      </c>
    </row>
    <row r="315" spans="1:22" ht="12.75">
      <c r="A315" s="18" t="s">
        <v>108</v>
      </c>
      <c r="B315" s="14" t="s">
        <v>242</v>
      </c>
      <c r="C315" s="14" t="s">
        <v>242</v>
      </c>
      <c r="D315" s="14" t="s">
        <v>242</v>
      </c>
      <c r="E315" s="14" t="s">
        <v>242</v>
      </c>
      <c r="F315" s="14" t="s">
        <v>242</v>
      </c>
      <c r="G315" s="14" t="s">
        <v>242</v>
      </c>
      <c r="H315" s="14" t="s">
        <v>242</v>
      </c>
      <c r="I315" s="14" t="s">
        <v>242</v>
      </c>
      <c r="J315" s="14" t="s">
        <v>242</v>
      </c>
      <c r="K315" s="14" t="s">
        <v>242</v>
      </c>
      <c r="L315" s="9">
        <v>3187</v>
      </c>
      <c r="M315" s="9">
        <v>2926</v>
      </c>
      <c r="N315" s="9">
        <v>2660</v>
      </c>
      <c r="O315" s="9">
        <v>2576</v>
      </c>
      <c r="P315" s="9">
        <v>2545</v>
      </c>
      <c r="Q315" s="9">
        <v>2356</v>
      </c>
      <c r="R315" s="9">
        <v>1936</v>
      </c>
      <c r="S315" s="9">
        <v>1893</v>
      </c>
      <c r="T315" s="9">
        <v>2177</v>
      </c>
      <c r="U315" s="9">
        <v>1981</v>
      </c>
      <c r="V315" s="9">
        <v>1809</v>
      </c>
    </row>
    <row r="316" spans="1:22" ht="12.75">
      <c r="A316" s="18" t="s">
        <v>109</v>
      </c>
      <c r="B316" s="14" t="s">
        <v>242</v>
      </c>
      <c r="C316" s="14" t="s">
        <v>242</v>
      </c>
      <c r="D316" s="14" t="s">
        <v>242</v>
      </c>
      <c r="E316" s="14" t="s">
        <v>242</v>
      </c>
      <c r="F316" s="14" t="s">
        <v>242</v>
      </c>
      <c r="G316" s="14" t="s">
        <v>242</v>
      </c>
      <c r="H316" s="14" t="s">
        <v>242</v>
      </c>
      <c r="I316" s="14" t="s">
        <v>242</v>
      </c>
      <c r="J316" s="14" t="s">
        <v>242</v>
      </c>
      <c r="K316" s="14" t="s">
        <v>242</v>
      </c>
      <c r="L316" s="9">
        <v>599</v>
      </c>
      <c r="M316" s="9">
        <v>467</v>
      </c>
      <c r="N316" s="9">
        <v>447</v>
      </c>
      <c r="O316" s="9">
        <v>447</v>
      </c>
      <c r="P316" s="9">
        <v>451</v>
      </c>
      <c r="Q316" s="9">
        <v>381</v>
      </c>
      <c r="R316" s="9">
        <v>364</v>
      </c>
      <c r="S316" s="9">
        <v>330</v>
      </c>
      <c r="T316" s="9">
        <v>318</v>
      </c>
      <c r="U316" s="9">
        <v>398</v>
      </c>
      <c r="V316" s="9">
        <v>364</v>
      </c>
    </row>
    <row r="317" spans="1:33" ht="12.75">
      <c r="A317" s="19" t="s">
        <v>142</v>
      </c>
      <c r="B317" s="14" t="s">
        <v>242</v>
      </c>
      <c r="C317" s="9">
        <v>6891</v>
      </c>
      <c r="D317" s="9">
        <v>7833</v>
      </c>
      <c r="E317" s="9">
        <v>7857</v>
      </c>
      <c r="F317" s="9">
        <v>7861</v>
      </c>
      <c r="G317" s="14" t="s">
        <v>242</v>
      </c>
      <c r="H317" s="14" t="s">
        <v>242</v>
      </c>
      <c r="I317" s="9">
        <v>7999</v>
      </c>
      <c r="J317" s="9">
        <v>7848</v>
      </c>
      <c r="K317" s="9">
        <v>8213</v>
      </c>
      <c r="L317" s="9">
        <f aca="true" t="shared" si="49" ref="L317:V317">SUM(L314:L316)</f>
        <v>8372</v>
      </c>
      <c r="M317" s="9">
        <f t="shared" si="49"/>
        <v>8491</v>
      </c>
      <c r="N317" s="9">
        <f t="shared" si="49"/>
        <v>8384</v>
      </c>
      <c r="O317" s="9">
        <f t="shared" si="49"/>
        <v>8305</v>
      </c>
      <c r="P317" s="9">
        <f t="shared" si="49"/>
        <v>8363</v>
      </c>
      <c r="Q317" s="9">
        <f t="shared" si="49"/>
        <v>7909</v>
      </c>
      <c r="R317" s="9">
        <f t="shared" si="49"/>
        <v>7365</v>
      </c>
      <c r="S317" s="9">
        <f t="shared" si="49"/>
        <v>7633</v>
      </c>
      <c r="T317" s="9">
        <f t="shared" si="49"/>
        <v>8605</v>
      </c>
      <c r="U317" s="9">
        <f t="shared" si="49"/>
        <v>7720</v>
      </c>
      <c r="V317" s="9">
        <f t="shared" si="49"/>
        <v>6862</v>
      </c>
      <c r="AG317" s="9"/>
    </row>
    <row r="318" spans="1:33" ht="12.75">
      <c r="A318" s="18" t="s">
        <v>250</v>
      </c>
      <c r="B318" s="14" t="s">
        <v>242</v>
      </c>
      <c r="C318" s="9">
        <v>15264</v>
      </c>
      <c r="D318" s="9">
        <v>11464</v>
      </c>
      <c r="E318" s="9">
        <v>12087</v>
      </c>
      <c r="F318" s="9">
        <v>16260</v>
      </c>
      <c r="G318" s="14" t="s">
        <v>242</v>
      </c>
      <c r="H318" s="14" t="s">
        <v>242</v>
      </c>
      <c r="I318" s="52">
        <v>19080</v>
      </c>
      <c r="J318" s="52">
        <v>20069</v>
      </c>
      <c r="K318" s="52">
        <v>19545</v>
      </c>
      <c r="L318" s="9">
        <v>22570</v>
      </c>
      <c r="M318" s="9">
        <v>22828</v>
      </c>
      <c r="N318" s="9">
        <v>24000</v>
      </c>
      <c r="O318" s="9">
        <v>25180</v>
      </c>
      <c r="P318" s="9">
        <v>26793</v>
      </c>
      <c r="Q318" s="9">
        <v>27906</v>
      </c>
      <c r="R318" s="9">
        <v>25579</v>
      </c>
      <c r="S318" s="9">
        <v>28204</v>
      </c>
      <c r="T318" s="9">
        <v>31796</v>
      </c>
      <c r="U318" s="9">
        <v>32527</v>
      </c>
      <c r="V318" s="9">
        <v>35908</v>
      </c>
      <c r="AG318" s="9"/>
    </row>
    <row r="319" spans="1:33" ht="12.75">
      <c r="A319" s="18" t="s">
        <v>110</v>
      </c>
      <c r="B319" s="14" t="s">
        <v>242</v>
      </c>
      <c r="C319" s="9">
        <v>804</v>
      </c>
      <c r="D319" s="9">
        <f>1778+2425</f>
        <v>4203</v>
      </c>
      <c r="E319" s="9">
        <f>2723+1422</f>
        <v>4145</v>
      </c>
      <c r="F319" s="9">
        <v>768</v>
      </c>
      <c r="G319" s="14" t="s">
        <v>242</v>
      </c>
      <c r="H319" s="14" t="s">
        <v>242</v>
      </c>
      <c r="I319" s="52" t="s">
        <v>323</v>
      </c>
      <c r="J319" s="52" t="s">
        <v>323</v>
      </c>
      <c r="K319" s="52" t="s">
        <v>323</v>
      </c>
      <c r="L319" s="9">
        <f>414+839</f>
        <v>1253</v>
      </c>
      <c r="M319" s="9">
        <f>601+1146</f>
        <v>1747</v>
      </c>
      <c r="N319" s="9">
        <f>780+1323</f>
        <v>2103</v>
      </c>
      <c r="O319" s="9">
        <f>753+1104</f>
        <v>1857</v>
      </c>
      <c r="P319" s="9">
        <f>844+1183</f>
        <v>2027</v>
      </c>
      <c r="Q319" s="9">
        <v>3211</v>
      </c>
      <c r="R319" s="9">
        <v>2911</v>
      </c>
      <c r="S319" s="9">
        <v>3047</v>
      </c>
      <c r="T319" s="9">
        <v>2977</v>
      </c>
      <c r="U319" s="9">
        <v>3432</v>
      </c>
      <c r="V319" s="9">
        <v>3309</v>
      </c>
      <c r="AG319" s="9"/>
    </row>
    <row r="320" spans="1:22" ht="12.75">
      <c r="A320" s="40" t="s">
        <v>148</v>
      </c>
      <c r="B320" s="10">
        <f aca="true" t="shared" si="50" ref="B320:K320">B278-SUM(B317:B319)</f>
        <v>21695</v>
      </c>
      <c r="C320" s="10">
        <f t="shared" si="50"/>
        <v>0</v>
      </c>
      <c r="D320" s="10">
        <f t="shared" si="50"/>
        <v>1</v>
      </c>
      <c r="E320" s="10">
        <f t="shared" si="50"/>
        <v>0</v>
      </c>
      <c r="F320" s="10">
        <f t="shared" si="50"/>
        <v>0</v>
      </c>
      <c r="G320" s="10">
        <f t="shared" si="50"/>
        <v>25589</v>
      </c>
      <c r="H320" s="10">
        <f t="shared" si="50"/>
        <v>26446</v>
      </c>
      <c r="I320" s="10">
        <f t="shared" si="50"/>
        <v>0</v>
      </c>
      <c r="J320" s="10">
        <f t="shared" si="50"/>
        <v>0</v>
      </c>
      <c r="K320" s="10">
        <f t="shared" si="50"/>
        <v>0</v>
      </c>
      <c r="L320" s="9">
        <f aca="true" t="shared" si="51" ref="L320:Q320">L278-SUM(L314:L319)+L317</f>
        <v>0</v>
      </c>
      <c r="M320" s="9">
        <f t="shared" si="51"/>
        <v>1</v>
      </c>
      <c r="N320" s="9">
        <f t="shared" si="51"/>
        <v>0</v>
      </c>
      <c r="O320" s="9">
        <f t="shared" si="51"/>
        <v>0</v>
      </c>
      <c r="P320" s="9">
        <f t="shared" si="51"/>
        <v>0</v>
      </c>
      <c r="Q320" s="9">
        <f t="shared" si="51"/>
        <v>0</v>
      </c>
      <c r="R320" s="10">
        <f>R294-SUM(R314:R319)+R317</f>
        <v>0</v>
      </c>
      <c r="S320" s="10">
        <f>S294-SUM(S314:S319)+S317</f>
        <v>-1</v>
      </c>
      <c r="T320" s="10">
        <f>T294-SUM(T314:T319)+T317</f>
        <v>0</v>
      </c>
      <c r="U320" s="10">
        <f>U294-SUM(U314:U319)+U317</f>
        <v>-1</v>
      </c>
      <c r="V320" s="10">
        <f>V294-SUM(V314:V319)+V317</f>
        <v>0</v>
      </c>
    </row>
    <row r="321" spans="2:22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ht="12.75">
      <c r="A322" s="19" t="s">
        <v>114</v>
      </c>
      <c r="R322" s="10"/>
      <c r="S322" s="10"/>
      <c r="T322" s="10"/>
      <c r="U322" s="10"/>
      <c r="V322" s="10"/>
    </row>
    <row r="323" spans="18:22" ht="12.75">
      <c r="R323" s="10"/>
      <c r="S323" s="10"/>
      <c r="T323" s="10"/>
      <c r="U323" s="10"/>
      <c r="V323" s="10"/>
    </row>
    <row r="324" spans="1:33" ht="12.75">
      <c r="A324" s="2" t="s">
        <v>352</v>
      </c>
      <c r="R324" s="10"/>
      <c r="S324" s="10"/>
      <c r="T324" s="10"/>
      <c r="U324" s="10"/>
      <c r="V324" s="10"/>
      <c r="AF324" s="9"/>
      <c r="AG324" s="9"/>
    </row>
    <row r="325" spans="1:33" ht="12.75">
      <c r="A325" s="2" t="s">
        <v>47</v>
      </c>
      <c r="B325" s="9">
        <v>61448</v>
      </c>
      <c r="C325" s="9">
        <v>62832</v>
      </c>
      <c r="D325" s="9">
        <v>64485</v>
      </c>
      <c r="E325" s="9">
        <v>65982</v>
      </c>
      <c r="F325" s="9">
        <v>67357</v>
      </c>
      <c r="G325" s="9">
        <v>69471</v>
      </c>
      <c r="H325" s="9">
        <v>70956</v>
      </c>
      <c r="I325" s="9">
        <v>72121</v>
      </c>
      <c r="J325" s="9">
        <v>75317</v>
      </c>
      <c r="K325" s="9">
        <v>77358</v>
      </c>
      <c r="L325" s="9">
        <v>82510</v>
      </c>
      <c r="M325" s="9">
        <v>85575</v>
      </c>
      <c r="N325" s="9">
        <v>88395</v>
      </c>
      <c r="O325" s="9">
        <v>87254</v>
      </c>
      <c r="P325" s="9">
        <v>88668</v>
      </c>
      <c r="Q325" s="9">
        <v>92341</v>
      </c>
      <c r="R325" s="9">
        <v>96629</v>
      </c>
      <c r="S325" s="9">
        <v>98196</v>
      </c>
      <c r="T325" s="9">
        <v>101087</v>
      </c>
      <c r="U325" s="9">
        <v>102331</v>
      </c>
      <c r="V325" s="9">
        <v>105572</v>
      </c>
      <c r="AF325" s="9"/>
      <c r="AG325" s="9"/>
    </row>
    <row r="326" spans="1:33" ht="12.75">
      <c r="A326" s="2" t="s">
        <v>48</v>
      </c>
      <c r="B326" s="9">
        <v>12243</v>
      </c>
      <c r="C326" s="9">
        <v>11608</v>
      </c>
      <c r="D326" s="9">
        <v>11607</v>
      </c>
      <c r="E326" s="9">
        <v>11875</v>
      </c>
      <c r="F326" s="9">
        <v>11943</v>
      </c>
      <c r="G326" s="9">
        <v>11985</v>
      </c>
      <c r="H326" s="9">
        <v>12274</v>
      </c>
      <c r="I326" s="9">
        <v>12566</v>
      </c>
      <c r="J326" s="9">
        <v>12961</v>
      </c>
      <c r="K326" s="9">
        <v>13043</v>
      </c>
      <c r="L326" s="9">
        <v>13228</v>
      </c>
      <c r="M326" s="9">
        <v>13292</v>
      </c>
      <c r="N326" s="9">
        <v>13411</v>
      </c>
      <c r="O326" s="9">
        <v>12911</v>
      </c>
      <c r="P326" s="9">
        <v>12944</v>
      </c>
      <c r="Q326" s="9">
        <v>13311</v>
      </c>
      <c r="R326" s="9">
        <v>11974</v>
      </c>
      <c r="S326" s="9">
        <v>13476</v>
      </c>
      <c r="T326" s="9">
        <v>14365</v>
      </c>
      <c r="U326" s="9">
        <v>14313</v>
      </c>
      <c r="V326" s="9">
        <v>14359</v>
      </c>
      <c r="AF326" s="9"/>
      <c r="AG326" s="9"/>
    </row>
    <row r="327" spans="1:33" ht="12.75">
      <c r="A327" s="5" t="s">
        <v>49</v>
      </c>
      <c r="B327" s="9">
        <v>1602</v>
      </c>
      <c r="C327" s="9">
        <v>1447</v>
      </c>
      <c r="D327" s="9">
        <v>1461</v>
      </c>
      <c r="E327" s="9">
        <v>1458</v>
      </c>
      <c r="F327" s="9">
        <v>1416</v>
      </c>
      <c r="G327" s="9">
        <v>1378</v>
      </c>
      <c r="H327" s="9">
        <v>1356</v>
      </c>
      <c r="I327" s="9">
        <v>1338</v>
      </c>
      <c r="J327" s="9">
        <v>1332</v>
      </c>
      <c r="K327" s="9">
        <v>1274</v>
      </c>
      <c r="L327" s="9">
        <v>1010</v>
      </c>
      <c r="M327" s="9">
        <v>948</v>
      </c>
      <c r="N327" s="9">
        <v>974</v>
      </c>
      <c r="O327" s="9">
        <v>1699</v>
      </c>
      <c r="P327" s="9">
        <v>1910</v>
      </c>
      <c r="Q327" s="9">
        <v>752</v>
      </c>
      <c r="R327" s="9">
        <v>588</v>
      </c>
      <c r="S327" s="9">
        <v>620</v>
      </c>
      <c r="T327" s="9">
        <v>586</v>
      </c>
      <c r="U327" s="9">
        <v>567</v>
      </c>
      <c r="V327" s="9">
        <v>601</v>
      </c>
      <c r="AF327" s="9"/>
      <c r="AG327" s="9"/>
    </row>
    <row r="328" spans="1:33" ht="12.75">
      <c r="A328" s="40" t="s">
        <v>148</v>
      </c>
      <c r="B328" s="10">
        <f aca="true" t="shared" si="52" ref="B328:V328">B24-SUM(B325:B327)</f>
        <v>0</v>
      </c>
      <c r="C328" s="10">
        <f t="shared" si="52"/>
        <v>-1</v>
      </c>
      <c r="D328" s="10">
        <f t="shared" si="52"/>
        <v>0</v>
      </c>
      <c r="E328" s="10">
        <f t="shared" si="52"/>
        <v>1</v>
      </c>
      <c r="F328" s="10">
        <f t="shared" si="52"/>
        <v>0</v>
      </c>
      <c r="G328" s="10">
        <f t="shared" si="52"/>
        <v>-1</v>
      </c>
      <c r="H328" s="10">
        <f t="shared" si="52"/>
        <v>0</v>
      </c>
      <c r="I328" s="10">
        <f t="shared" si="52"/>
        <v>-1</v>
      </c>
      <c r="J328" s="10">
        <f t="shared" si="52"/>
        <v>0</v>
      </c>
      <c r="K328" s="10">
        <f t="shared" si="52"/>
        <v>0</v>
      </c>
      <c r="L328" s="10">
        <f t="shared" si="52"/>
        <v>1</v>
      </c>
      <c r="M328" s="10">
        <f t="shared" si="52"/>
        <v>0</v>
      </c>
      <c r="N328" s="10">
        <f t="shared" si="52"/>
        <v>0</v>
      </c>
      <c r="O328" s="10">
        <f t="shared" si="52"/>
        <v>0</v>
      </c>
      <c r="P328" s="10">
        <f t="shared" si="52"/>
        <v>0</v>
      </c>
      <c r="Q328" s="10">
        <f t="shared" si="52"/>
        <v>-1</v>
      </c>
      <c r="R328" s="10">
        <f t="shared" si="52"/>
        <v>0</v>
      </c>
      <c r="S328" s="10">
        <f t="shared" si="52"/>
        <v>0</v>
      </c>
      <c r="T328" s="10">
        <f t="shared" si="52"/>
        <v>0</v>
      </c>
      <c r="U328" s="10">
        <f t="shared" si="52"/>
        <v>0</v>
      </c>
      <c r="V328" s="10">
        <f t="shared" si="52"/>
        <v>0</v>
      </c>
      <c r="AF328" s="9"/>
      <c r="AG328" s="9"/>
    </row>
    <row r="329" spans="1:33" ht="12.75">
      <c r="A329" s="5"/>
      <c r="R329" s="10"/>
      <c r="S329" s="10"/>
      <c r="T329" s="10"/>
      <c r="U329" s="10"/>
      <c r="V329" s="10"/>
      <c r="AF329" s="9"/>
      <c r="AG329" s="9"/>
    </row>
    <row r="330" spans="1:33" ht="12.75">
      <c r="A330" s="5" t="s">
        <v>353</v>
      </c>
      <c r="R330" s="10"/>
      <c r="S330" s="10"/>
      <c r="T330" s="10"/>
      <c r="U330" s="10"/>
      <c r="V330" s="10"/>
      <c r="AF330" s="9"/>
      <c r="AG330" s="9"/>
    </row>
    <row r="331" spans="1:33" ht="12.75">
      <c r="A331" s="2" t="s">
        <v>50</v>
      </c>
      <c r="B331" s="9">
        <v>53673</v>
      </c>
      <c r="C331" s="9">
        <v>54894</v>
      </c>
      <c r="D331" s="9">
        <v>56484</v>
      </c>
      <c r="E331" s="9">
        <v>57819</v>
      </c>
      <c r="F331" s="9">
        <v>59026</v>
      </c>
      <c r="G331" s="9">
        <v>60805</v>
      </c>
      <c r="H331" s="9">
        <v>62063</v>
      </c>
      <c r="I331" s="9">
        <v>63113</v>
      </c>
      <c r="J331" s="9">
        <v>65992</v>
      </c>
      <c r="K331" s="9">
        <v>68102</v>
      </c>
      <c r="L331" s="9">
        <v>73230</v>
      </c>
      <c r="M331" s="9">
        <v>76155</v>
      </c>
      <c r="N331" s="9">
        <v>78801</v>
      </c>
      <c r="O331" s="9">
        <v>77940</v>
      </c>
      <c r="P331" s="9">
        <v>79604</v>
      </c>
      <c r="Q331" s="9">
        <v>82086</v>
      </c>
      <c r="R331" s="9">
        <v>84504</v>
      </c>
      <c r="S331" s="9">
        <v>87329</v>
      </c>
      <c r="T331" s="9">
        <v>91449</v>
      </c>
      <c r="U331" s="9">
        <v>92897</v>
      </c>
      <c r="V331" s="9">
        <v>96037</v>
      </c>
      <c r="AF331" s="9"/>
      <c r="AG331" s="9"/>
    </row>
    <row r="332" spans="1:33" ht="12.75">
      <c r="A332" s="2" t="s">
        <v>51</v>
      </c>
      <c r="B332" s="9">
        <v>19688</v>
      </c>
      <c r="C332" s="9">
        <v>19434</v>
      </c>
      <c r="D332" s="9">
        <v>19694</v>
      </c>
      <c r="E332" s="9">
        <v>20177</v>
      </c>
      <c r="F332" s="9">
        <v>20489</v>
      </c>
      <c r="G332" s="9">
        <v>20929</v>
      </c>
      <c r="H332" s="9">
        <v>21510</v>
      </c>
      <c r="I332" s="9">
        <v>21914</v>
      </c>
      <c r="J332" s="9">
        <v>22653</v>
      </c>
      <c r="K332" s="9">
        <v>22861</v>
      </c>
      <c r="L332" s="9">
        <v>22985</v>
      </c>
      <c r="M332" s="9">
        <v>23232</v>
      </c>
      <c r="N332" s="9">
        <v>23632</v>
      </c>
      <c r="O332" s="9">
        <v>23651</v>
      </c>
      <c r="P332" s="9">
        <v>23671</v>
      </c>
      <c r="Q332" s="9">
        <v>24115</v>
      </c>
      <c r="R332" s="9">
        <v>24499</v>
      </c>
      <c r="S332" s="9">
        <v>24758</v>
      </c>
      <c r="T332" s="9">
        <v>24406</v>
      </c>
      <c r="U332" s="9">
        <v>24089</v>
      </c>
      <c r="V332" s="9">
        <v>24290</v>
      </c>
      <c r="AF332" s="9"/>
      <c r="AG332" s="9"/>
    </row>
    <row r="333" spans="1:33" ht="12.75">
      <c r="A333" s="2" t="s">
        <v>52</v>
      </c>
      <c r="B333" s="9">
        <v>1932</v>
      </c>
      <c r="C333" s="9">
        <v>1557</v>
      </c>
      <c r="D333" s="9">
        <v>1375</v>
      </c>
      <c r="E333" s="9">
        <v>1320</v>
      </c>
      <c r="F333" s="9">
        <v>1201</v>
      </c>
      <c r="G333" s="9">
        <v>1099</v>
      </c>
      <c r="H333" s="9">
        <v>1013</v>
      </c>
      <c r="I333" s="9">
        <v>998</v>
      </c>
      <c r="J333" s="9">
        <v>965</v>
      </c>
      <c r="K333" s="9">
        <v>712</v>
      </c>
      <c r="L333" s="9">
        <v>534</v>
      </c>
      <c r="M333" s="9">
        <v>427</v>
      </c>
      <c r="N333" s="9">
        <v>346</v>
      </c>
      <c r="O333" s="9">
        <v>273</v>
      </c>
      <c r="P333" s="9">
        <v>247</v>
      </c>
      <c r="Q333" s="9">
        <v>203</v>
      </c>
      <c r="R333" s="9">
        <v>188</v>
      </c>
      <c r="S333" s="9">
        <v>204</v>
      </c>
      <c r="T333" s="9">
        <v>183</v>
      </c>
      <c r="U333" s="9">
        <v>225</v>
      </c>
      <c r="V333" s="9">
        <v>204</v>
      </c>
      <c r="AF333" s="9"/>
      <c r="AG333" s="9"/>
    </row>
    <row r="334" spans="1:33" ht="12.75">
      <c r="A334" s="40" t="s">
        <v>148</v>
      </c>
      <c r="B334" s="10">
        <f aca="true" t="shared" si="53" ref="B334:V334">B24-SUM(B331:B333)</f>
        <v>0</v>
      </c>
      <c r="C334" s="10">
        <f t="shared" si="53"/>
        <v>1</v>
      </c>
      <c r="D334" s="10">
        <f t="shared" si="53"/>
        <v>0</v>
      </c>
      <c r="E334" s="10">
        <f t="shared" si="53"/>
        <v>0</v>
      </c>
      <c r="F334" s="10">
        <f t="shared" si="53"/>
        <v>0</v>
      </c>
      <c r="G334" s="10">
        <f t="shared" si="53"/>
        <v>0</v>
      </c>
      <c r="H334" s="10">
        <f t="shared" si="53"/>
        <v>0</v>
      </c>
      <c r="I334" s="10">
        <f t="shared" si="53"/>
        <v>-1</v>
      </c>
      <c r="J334" s="10">
        <f t="shared" si="53"/>
        <v>0</v>
      </c>
      <c r="K334" s="10">
        <f t="shared" si="53"/>
        <v>0</v>
      </c>
      <c r="L334" s="10">
        <f t="shared" si="53"/>
        <v>0</v>
      </c>
      <c r="M334" s="10">
        <f t="shared" si="53"/>
        <v>1</v>
      </c>
      <c r="N334" s="10">
        <f t="shared" si="53"/>
        <v>1</v>
      </c>
      <c r="O334" s="10">
        <f t="shared" si="53"/>
        <v>0</v>
      </c>
      <c r="P334" s="10">
        <f t="shared" si="53"/>
        <v>0</v>
      </c>
      <c r="Q334" s="10">
        <f t="shared" si="53"/>
        <v>-1</v>
      </c>
      <c r="R334" s="10">
        <f t="shared" si="53"/>
        <v>0</v>
      </c>
      <c r="S334" s="10">
        <f t="shared" si="53"/>
        <v>1</v>
      </c>
      <c r="T334" s="10">
        <f t="shared" si="53"/>
        <v>0</v>
      </c>
      <c r="U334" s="10">
        <f t="shared" si="53"/>
        <v>0</v>
      </c>
      <c r="V334" s="10">
        <f t="shared" si="53"/>
        <v>1</v>
      </c>
      <c r="AF334" s="9"/>
      <c r="AG334" s="9"/>
    </row>
    <row r="335" spans="18:22" ht="12.75">
      <c r="R335" s="10"/>
      <c r="S335" s="10"/>
      <c r="T335" s="10"/>
      <c r="U335" s="10"/>
      <c r="V335" s="10"/>
    </row>
    <row r="336" spans="1:22" ht="12.75">
      <c r="A336" s="2" t="s">
        <v>354</v>
      </c>
      <c r="R336" s="10"/>
      <c r="S336" s="10"/>
      <c r="T336" s="10"/>
      <c r="U336" s="10"/>
      <c r="V336" s="10"/>
    </row>
    <row r="337" spans="1:33" ht="12.75">
      <c r="A337" s="2" t="s">
        <v>43</v>
      </c>
      <c r="B337" s="9">
        <f>72469+154</f>
        <v>72623</v>
      </c>
      <c r="C337" s="9">
        <f>73417+179</f>
        <v>73596</v>
      </c>
      <c r="D337" s="9">
        <f>75309+160</f>
        <v>75469</v>
      </c>
      <c r="E337" s="9">
        <f>77110+170</f>
        <v>77280</v>
      </c>
      <c r="F337" s="9">
        <f>78600+168</f>
        <v>78768</v>
      </c>
      <c r="G337" s="9">
        <f>80547+230</f>
        <v>80777</v>
      </c>
      <c r="H337" s="9">
        <f>82529+223</f>
        <v>82752</v>
      </c>
      <c r="I337" s="9">
        <f>84024+235</f>
        <v>84259</v>
      </c>
      <c r="J337" s="9">
        <f>87532+262</f>
        <v>87794</v>
      </c>
      <c r="K337" s="9">
        <f>90182+148</f>
        <v>90330</v>
      </c>
      <c r="L337" s="9">
        <v>92943</v>
      </c>
      <c r="M337" s="9">
        <v>95966</v>
      </c>
      <c r="N337" s="9">
        <v>99104</v>
      </c>
      <c r="O337" s="9">
        <v>98579</v>
      </c>
      <c r="P337" s="9">
        <v>100091</v>
      </c>
      <c r="Q337" s="9">
        <v>103165</v>
      </c>
      <c r="R337" s="9">
        <v>103978</v>
      </c>
      <c r="S337" s="9">
        <v>107652</v>
      </c>
      <c r="T337" s="9">
        <v>111349</v>
      </c>
      <c r="U337" s="9">
        <v>112068</v>
      </c>
      <c r="V337" s="9">
        <v>115649</v>
      </c>
      <c r="AF337" s="9"/>
      <c r="AG337" s="9"/>
    </row>
    <row r="338" spans="1:33" ht="12.75">
      <c r="A338" s="5" t="s">
        <v>44</v>
      </c>
      <c r="B338" s="9">
        <v>2671</v>
      </c>
      <c r="C338" s="9">
        <v>2291</v>
      </c>
      <c r="D338" s="9">
        <v>2084</v>
      </c>
      <c r="E338" s="9">
        <v>2036</v>
      </c>
      <c r="F338" s="9">
        <v>1948</v>
      </c>
      <c r="G338" s="9">
        <v>2056</v>
      </c>
      <c r="H338" s="9">
        <v>1834</v>
      </c>
      <c r="I338" s="9">
        <v>1765</v>
      </c>
      <c r="J338" s="9">
        <v>1816</v>
      </c>
      <c r="K338" s="9">
        <v>1345</v>
      </c>
      <c r="L338" s="9">
        <v>3808</v>
      </c>
      <c r="M338" s="9">
        <v>3849</v>
      </c>
      <c r="N338" s="9">
        <v>3676</v>
      </c>
      <c r="O338" s="9">
        <v>3285</v>
      </c>
      <c r="P338" s="9">
        <v>3431</v>
      </c>
      <c r="Q338" s="9">
        <v>3238</v>
      </c>
      <c r="R338" s="9">
        <v>5213</v>
      </c>
      <c r="S338" s="9">
        <v>4640</v>
      </c>
      <c r="T338" s="9">
        <v>4690</v>
      </c>
      <c r="U338" s="9">
        <v>5144</v>
      </c>
      <c r="V338" s="9">
        <v>4883</v>
      </c>
      <c r="AF338" s="9"/>
      <c r="AG338" s="9"/>
    </row>
    <row r="339" spans="1:33" ht="12.75">
      <c r="A339" s="40" t="s">
        <v>148</v>
      </c>
      <c r="B339" s="9">
        <f aca="true" t="shared" si="54" ref="B339:V339">B24-SUM(B337:B338)</f>
        <v>-1</v>
      </c>
      <c r="C339" s="9">
        <f t="shared" si="54"/>
        <v>-1</v>
      </c>
      <c r="D339" s="9">
        <f t="shared" si="54"/>
        <v>0</v>
      </c>
      <c r="E339" s="9">
        <f t="shared" si="54"/>
        <v>0</v>
      </c>
      <c r="F339" s="9">
        <f t="shared" si="54"/>
        <v>0</v>
      </c>
      <c r="G339" s="9">
        <f t="shared" si="54"/>
        <v>0</v>
      </c>
      <c r="H339" s="9">
        <f t="shared" si="54"/>
        <v>0</v>
      </c>
      <c r="I339" s="9">
        <f t="shared" si="54"/>
        <v>0</v>
      </c>
      <c r="J339" s="9">
        <f t="shared" si="54"/>
        <v>0</v>
      </c>
      <c r="K339" s="9">
        <f t="shared" si="54"/>
        <v>0</v>
      </c>
      <c r="L339" s="9">
        <f t="shared" si="54"/>
        <v>-2</v>
      </c>
      <c r="M339" s="9">
        <f t="shared" si="54"/>
        <v>0</v>
      </c>
      <c r="N339" s="9">
        <f t="shared" si="54"/>
        <v>0</v>
      </c>
      <c r="O339" s="9">
        <f t="shared" si="54"/>
        <v>0</v>
      </c>
      <c r="P339" s="9">
        <f t="shared" si="54"/>
        <v>0</v>
      </c>
      <c r="Q339" s="9">
        <f t="shared" si="54"/>
        <v>0</v>
      </c>
      <c r="R339" s="9">
        <f t="shared" si="54"/>
        <v>0</v>
      </c>
      <c r="S339" s="9">
        <f t="shared" si="54"/>
        <v>0</v>
      </c>
      <c r="T339" s="9">
        <f t="shared" si="54"/>
        <v>-1</v>
      </c>
      <c r="U339" s="9">
        <f t="shared" si="54"/>
        <v>-1</v>
      </c>
      <c r="V339" s="9">
        <f t="shared" si="54"/>
        <v>0</v>
      </c>
      <c r="AF339" s="9"/>
      <c r="AG339" s="9"/>
    </row>
    <row r="340" spans="1:33" ht="12.75">
      <c r="A340" s="5"/>
      <c r="R340" s="10"/>
      <c r="S340" s="10"/>
      <c r="T340" s="10"/>
      <c r="U340" s="10"/>
      <c r="V340" s="10"/>
      <c r="AF340" s="9"/>
      <c r="AG340" s="9"/>
    </row>
    <row r="341" spans="1:33" ht="12.75">
      <c r="A341" s="2" t="s">
        <v>355</v>
      </c>
      <c r="R341" s="10"/>
      <c r="S341" s="10"/>
      <c r="T341" s="10"/>
      <c r="U341" s="10"/>
      <c r="V341" s="10"/>
      <c r="AF341" s="9"/>
      <c r="AG341" s="9"/>
    </row>
    <row r="342" spans="1:33" ht="12.75">
      <c r="A342" s="2" t="s">
        <v>45</v>
      </c>
      <c r="B342" s="53">
        <v>71720</v>
      </c>
      <c r="C342" s="53">
        <v>72850</v>
      </c>
      <c r="D342" s="53">
        <v>74847</v>
      </c>
      <c r="E342" s="53">
        <v>76655</v>
      </c>
      <c r="F342" s="53">
        <v>78174</v>
      </c>
      <c r="G342" s="53">
        <v>80331</v>
      </c>
      <c r="H342" s="53">
        <v>82233</v>
      </c>
      <c r="I342" s="53">
        <v>83665</v>
      </c>
      <c r="J342" s="53">
        <v>87235</v>
      </c>
      <c r="K342" s="53">
        <v>89441</v>
      </c>
      <c r="L342" s="14" t="s">
        <v>242</v>
      </c>
      <c r="M342" s="14" t="s">
        <v>242</v>
      </c>
      <c r="N342" s="9">
        <v>99641</v>
      </c>
      <c r="O342" s="9">
        <v>99015</v>
      </c>
      <c r="P342" s="9">
        <v>101708</v>
      </c>
      <c r="Q342" s="9">
        <v>104410</v>
      </c>
      <c r="R342" s="9">
        <v>107423</v>
      </c>
      <c r="S342" s="9">
        <v>110136</v>
      </c>
      <c r="T342" s="9">
        <v>113987</v>
      </c>
      <c r="U342" s="9">
        <v>115034</v>
      </c>
      <c r="V342" s="9">
        <v>118435</v>
      </c>
      <c r="AF342" s="9"/>
      <c r="AG342" s="9"/>
    </row>
    <row r="343" spans="1:33" ht="12.75">
      <c r="A343" s="2" t="s">
        <v>46</v>
      </c>
      <c r="B343" s="53">
        <v>3573</v>
      </c>
      <c r="C343" s="53">
        <v>3036</v>
      </c>
      <c r="D343" s="53">
        <v>2706</v>
      </c>
      <c r="E343" s="53">
        <v>2661</v>
      </c>
      <c r="F343" s="53">
        <v>2542</v>
      </c>
      <c r="G343" s="53">
        <v>2503</v>
      </c>
      <c r="H343" s="53">
        <v>2353</v>
      </c>
      <c r="I343" s="53">
        <v>2359</v>
      </c>
      <c r="J343" s="53">
        <v>2375</v>
      </c>
      <c r="K343" s="53">
        <v>2233</v>
      </c>
      <c r="L343" s="14" t="s">
        <v>242</v>
      </c>
      <c r="M343" s="14" t="s">
        <v>242</v>
      </c>
      <c r="N343" s="9">
        <f>375+2764</f>
        <v>3139</v>
      </c>
      <c r="O343" s="9">
        <f>338+2511</f>
        <v>2849</v>
      </c>
      <c r="P343" s="9">
        <f>324+1490</f>
        <v>1814</v>
      </c>
      <c r="Q343" s="9">
        <f>1705+288</f>
        <v>1993</v>
      </c>
      <c r="R343" s="9">
        <v>1767</v>
      </c>
      <c r="S343" s="9">
        <v>2156</v>
      </c>
      <c r="T343" s="9">
        <v>2051</v>
      </c>
      <c r="U343" s="9">
        <v>2177</v>
      </c>
      <c r="V343" s="9">
        <v>2097</v>
      </c>
      <c r="AF343" s="9"/>
      <c r="AG343" s="9"/>
    </row>
    <row r="344" spans="1:33" ht="12.75">
      <c r="A344" s="40" t="s">
        <v>148</v>
      </c>
      <c r="B344" s="10">
        <f aca="true" t="shared" si="55" ref="B344:K344">B24-SUM(B342:B343)</f>
        <v>0</v>
      </c>
      <c r="C344" s="10">
        <f t="shared" si="55"/>
        <v>0</v>
      </c>
      <c r="D344" s="10">
        <f t="shared" si="55"/>
        <v>0</v>
      </c>
      <c r="E344" s="10">
        <f t="shared" si="55"/>
        <v>0</v>
      </c>
      <c r="F344" s="10">
        <f t="shared" si="55"/>
        <v>0</v>
      </c>
      <c r="G344" s="10">
        <f t="shared" si="55"/>
        <v>-1</v>
      </c>
      <c r="H344" s="10">
        <f t="shared" si="55"/>
        <v>0</v>
      </c>
      <c r="I344" s="10">
        <f t="shared" si="55"/>
        <v>0</v>
      </c>
      <c r="J344" s="10">
        <f t="shared" si="55"/>
        <v>0</v>
      </c>
      <c r="K344" s="10">
        <f t="shared" si="55"/>
        <v>1</v>
      </c>
      <c r="L344" s="14" t="s">
        <v>242</v>
      </c>
      <c r="M344" s="14" t="s">
        <v>242</v>
      </c>
      <c r="N344" s="10">
        <f aca="true" t="shared" si="56" ref="N344:V344">N24-SUM(N342:N343)</f>
        <v>0</v>
      </c>
      <c r="O344" s="10">
        <f t="shared" si="56"/>
        <v>0</v>
      </c>
      <c r="P344" s="10">
        <f t="shared" si="56"/>
        <v>0</v>
      </c>
      <c r="Q344" s="10">
        <f t="shared" si="56"/>
        <v>0</v>
      </c>
      <c r="R344" s="10">
        <f t="shared" si="56"/>
        <v>1</v>
      </c>
      <c r="S344" s="10">
        <f t="shared" si="56"/>
        <v>0</v>
      </c>
      <c r="T344" s="10">
        <f t="shared" si="56"/>
        <v>0</v>
      </c>
      <c r="U344" s="10">
        <f t="shared" si="56"/>
        <v>0</v>
      </c>
      <c r="V344" s="10">
        <f t="shared" si="56"/>
        <v>0</v>
      </c>
      <c r="AF344" s="9"/>
      <c r="AG344" s="9"/>
    </row>
    <row r="346" spans="1:33" ht="12.75">
      <c r="A346" s="18" t="s">
        <v>356</v>
      </c>
      <c r="B346" s="9">
        <v>830</v>
      </c>
      <c r="C346" s="9">
        <v>723</v>
      </c>
      <c r="D346" s="9">
        <v>695</v>
      </c>
      <c r="E346" s="9">
        <v>716</v>
      </c>
      <c r="F346" s="9">
        <v>818</v>
      </c>
      <c r="G346" s="9">
        <v>960</v>
      </c>
      <c r="H346" s="9">
        <v>951</v>
      </c>
      <c r="I346" s="9">
        <v>997</v>
      </c>
      <c r="J346" s="9">
        <v>952</v>
      </c>
      <c r="K346" s="9">
        <v>976</v>
      </c>
      <c r="L346" s="9">
        <v>752</v>
      </c>
      <c r="M346" s="9">
        <v>908</v>
      </c>
      <c r="N346" s="9">
        <v>959</v>
      </c>
      <c r="O346" s="9">
        <v>1148</v>
      </c>
      <c r="P346" s="9">
        <v>1282</v>
      </c>
      <c r="Q346" s="9">
        <v>1436</v>
      </c>
      <c r="R346" s="9">
        <v>617</v>
      </c>
      <c r="S346" s="9">
        <v>898</v>
      </c>
      <c r="T346" s="9">
        <v>709</v>
      </c>
      <c r="U346" s="9">
        <v>853</v>
      </c>
      <c r="V346" s="9">
        <v>796</v>
      </c>
      <c r="AF346" s="9"/>
      <c r="AG346" s="9"/>
    </row>
    <row r="347" spans="1:33" ht="12.75">
      <c r="A347" s="18"/>
      <c r="AF347" s="9"/>
      <c r="AG347" s="9"/>
    </row>
    <row r="348" spans="1:33" ht="12.75">
      <c r="A348" s="18" t="s">
        <v>357</v>
      </c>
      <c r="L348" s="9">
        <v>1111</v>
      </c>
      <c r="M348" s="9">
        <v>1122</v>
      </c>
      <c r="N348" s="9">
        <v>864</v>
      </c>
      <c r="O348" s="9">
        <v>1114</v>
      </c>
      <c r="P348" s="9">
        <v>1146</v>
      </c>
      <c r="Q348" s="9">
        <v>1232</v>
      </c>
      <c r="R348" s="44"/>
      <c r="S348" s="44"/>
      <c r="T348" s="44" t="s">
        <v>309</v>
      </c>
      <c r="U348" s="9">
        <v>1582</v>
      </c>
      <c r="V348" s="9">
        <v>1690</v>
      </c>
      <c r="AF348" s="9"/>
      <c r="AG348" s="9"/>
    </row>
    <row r="349" spans="1:33" ht="12.75">
      <c r="A349" s="18" t="s">
        <v>358</v>
      </c>
      <c r="B349" s="9">
        <v>925</v>
      </c>
      <c r="C349" s="9">
        <v>832</v>
      </c>
      <c r="D349" s="9">
        <v>858</v>
      </c>
      <c r="E349" s="9">
        <v>810</v>
      </c>
      <c r="F349" s="9">
        <v>813</v>
      </c>
      <c r="G349" s="9">
        <v>758</v>
      </c>
      <c r="H349" s="9">
        <v>737</v>
      </c>
      <c r="I349" s="9">
        <v>724</v>
      </c>
      <c r="J349" s="9">
        <v>726</v>
      </c>
      <c r="K349" s="9">
        <v>716</v>
      </c>
      <c r="AF349" s="9"/>
      <c r="AG349" s="9"/>
    </row>
    <row r="350" spans="1:33" ht="12.75">
      <c r="A350" s="18"/>
      <c r="AF350" s="9"/>
      <c r="AG350" s="9"/>
    </row>
    <row r="352" spans="1:33" ht="12.75">
      <c r="A352" s="3" t="s">
        <v>129</v>
      </c>
      <c r="AF352" s="9"/>
      <c r="AG352" s="9"/>
    </row>
    <row r="353" spans="1:33" ht="12.75">
      <c r="A353" s="3" t="s">
        <v>130</v>
      </c>
      <c r="B353" s="9">
        <f>24897+12558</f>
        <v>37455</v>
      </c>
      <c r="C353" s="9">
        <f>25521+12885</f>
        <v>38406</v>
      </c>
      <c r="D353" s="9">
        <v>40277</v>
      </c>
      <c r="E353" s="9">
        <f>27827+14042</f>
        <v>41869</v>
      </c>
      <c r="F353" s="9">
        <f>28913+14504</f>
        <v>43417</v>
      </c>
      <c r="G353" s="9">
        <f>30610+15103</f>
        <v>45713</v>
      </c>
      <c r="H353" s="9">
        <f>31989+15529</f>
        <v>47518</v>
      </c>
      <c r="I353" s="9">
        <f>32843+15483</f>
        <v>48326</v>
      </c>
      <c r="J353" s="9">
        <f>34538+16293</f>
        <v>50831</v>
      </c>
      <c r="K353" s="9">
        <f>35359+16748</f>
        <v>52107</v>
      </c>
      <c r="L353" s="9">
        <v>57440</v>
      </c>
      <c r="M353" s="9">
        <v>59764</v>
      </c>
      <c r="N353" s="9">
        <v>61983</v>
      </c>
      <c r="O353" s="9">
        <v>62846</v>
      </c>
      <c r="P353" s="9">
        <v>64611</v>
      </c>
      <c r="Q353" s="9">
        <v>67043</v>
      </c>
      <c r="R353" s="9">
        <v>67968</v>
      </c>
      <c r="S353" s="9">
        <v>70972</v>
      </c>
      <c r="T353" s="9">
        <v>74006</v>
      </c>
      <c r="U353" s="9">
        <v>74537</v>
      </c>
      <c r="V353" s="9">
        <v>77574</v>
      </c>
      <c r="AF353" s="9"/>
      <c r="AG353" s="9"/>
    </row>
    <row r="354" spans="1:33" ht="12.75">
      <c r="A354" s="18" t="s">
        <v>131</v>
      </c>
      <c r="B354" s="9">
        <f>17636+10393</f>
        <v>28029</v>
      </c>
      <c r="C354" s="9">
        <f>18211+10425</f>
        <v>28636</v>
      </c>
      <c r="D354" s="9">
        <v>28645</v>
      </c>
      <c r="E354" s="9">
        <f>18285+10433</f>
        <v>28718</v>
      </c>
      <c r="F354" s="9">
        <f>18219+10367</f>
        <v>28586</v>
      </c>
      <c r="G354" s="9">
        <f>18007+10202</f>
        <v>28209</v>
      </c>
      <c r="H354" s="9">
        <f>17838+10068</f>
        <v>27906</v>
      </c>
      <c r="I354" s="9">
        <f>18042+10368</f>
        <v>28410</v>
      </c>
      <c r="J354" s="9">
        <f>18300+10746</f>
        <v>29046</v>
      </c>
      <c r="K354" s="9">
        <f>18112+11493</f>
        <v>29605</v>
      </c>
      <c r="L354" s="9">
        <v>28489</v>
      </c>
      <c r="M354" s="9">
        <v>28690</v>
      </c>
      <c r="N354" s="9">
        <v>29024</v>
      </c>
      <c r="O354" s="9">
        <v>27773</v>
      </c>
      <c r="P354" s="9">
        <v>27727</v>
      </c>
      <c r="Q354" s="9">
        <v>28097</v>
      </c>
      <c r="R354" s="9">
        <v>28713</v>
      </c>
      <c r="S354" s="9">
        <v>29259</v>
      </c>
      <c r="T354" s="9">
        <v>29595</v>
      </c>
      <c r="U354" s="9">
        <v>28743</v>
      </c>
      <c r="V354" s="9">
        <v>28673</v>
      </c>
      <c r="AF354" s="9"/>
      <c r="AG354" s="9"/>
    </row>
    <row r="355" spans="1:33" ht="12.75">
      <c r="A355" s="18" t="s">
        <v>132</v>
      </c>
      <c r="B355" s="9">
        <f>1770+1214</f>
        <v>2984</v>
      </c>
      <c r="C355" s="9">
        <f>1712+1266</f>
        <v>2978</v>
      </c>
      <c r="D355" s="9">
        <v>2890</v>
      </c>
      <c r="E355" s="9">
        <f>1501+1205</f>
        <v>2706</v>
      </c>
      <c r="F355" s="9">
        <f>1380+1224</f>
        <v>2604</v>
      </c>
      <c r="G355" s="9">
        <f>1321+1097</f>
        <v>2418</v>
      </c>
      <c r="H355" s="9">
        <f>1227+1131</f>
        <v>2358</v>
      </c>
      <c r="I355" s="9">
        <f>1305+1244</f>
        <v>2549</v>
      </c>
      <c r="J355" s="9">
        <f>1143+1258</f>
        <v>2401</v>
      </c>
      <c r="K355" s="9">
        <f>1043+1185</f>
        <v>2228</v>
      </c>
      <c r="L355" s="9">
        <v>1965</v>
      </c>
      <c r="M355" s="9">
        <v>1984</v>
      </c>
      <c r="N355" s="9">
        <v>2081</v>
      </c>
      <c r="O355" s="9">
        <v>2010</v>
      </c>
      <c r="P355" s="9">
        <v>1940</v>
      </c>
      <c r="Q355" s="9">
        <v>2059</v>
      </c>
      <c r="R355" s="9">
        <v>2151</v>
      </c>
      <c r="S355" s="9">
        <v>2127</v>
      </c>
      <c r="T355" s="9">
        <v>2151</v>
      </c>
      <c r="U355" s="9">
        <v>2097</v>
      </c>
      <c r="V355" s="9">
        <v>2166</v>
      </c>
      <c r="AF355" s="9"/>
      <c r="AG355" s="9"/>
    </row>
    <row r="356" spans="1:33" ht="12.75">
      <c r="A356" s="18" t="s">
        <v>133</v>
      </c>
      <c r="B356" s="9">
        <f>351+518</f>
        <v>869</v>
      </c>
      <c r="C356" s="9">
        <f>340+470</f>
        <v>810</v>
      </c>
      <c r="D356" s="9">
        <v>710</v>
      </c>
      <c r="E356" s="9">
        <f>291+421</f>
        <v>712</v>
      </c>
      <c r="F356" s="9">
        <f>253+421</f>
        <v>674</v>
      </c>
      <c r="G356" s="9">
        <f>344+482</f>
        <v>826</v>
      </c>
      <c r="H356" s="9">
        <f>357+432</f>
        <v>789</v>
      </c>
      <c r="I356" s="9">
        <f>326+461</f>
        <v>787</v>
      </c>
      <c r="J356" s="9">
        <f>362+537</f>
        <v>899</v>
      </c>
      <c r="K356" s="9">
        <f>211+489</f>
        <v>700</v>
      </c>
      <c r="L356" s="9">
        <v>531</v>
      </c>
      <c r="M356" s="9">
        <v>450</v>
      </c>
      <c r="N356" s="9">
        <v>595</v>
      </c>
      <c r="O356" s="9">
        <v>518</v>
      </c>
      <c r="P356" s="9">
        <v>446</v>
      </c>
      <c r="Q356" s="9">
        <v>495</v>
      </c>
      <c r="R356" s="9">
        <v>655</v>
      </c>
      <c r="S356" s="9">
        <v>444</v>
      </c>
      <c r="T356" s="9">
        <v>509</v>
      </c>
      <c r="U356" s="9">
        <v>465</v>
      </c>
      <c r="V356" s="9">
        <v>457</v>
      </c>
      <c r="AF356" s="9"/>
      <c r="AG356" s="9"/>
    </row>
    <row r="357" spans="1:33" ht="12.75">
      <c r="A357" s="40" t="s">
        <v>148</v>
      </c>
      <c r="B357" s="9">
        <f aca="true" t="shared" si="57" ref="B357:V357">B32-SUM(B353:B356)</f>
        <v>0</v>
      </c>
      <c r="C357" s="9">
        <f t="shared" si="57"/>
        <v>0</v>
      </c>
      <c r="D357" s="9">
        <f t="shared" si="57"/>
        <v>1</v>
      </c>
      <c r="E357" s="9">
        <f t="shared" si="57"/>
        <v>0</v>
      </c>
      <c r="F357" s="9">
        <f t="shared" si="57"/>
        <v>-1</v>
      </c>
      <c r="G357" s="9">
        <f t="shared" si="57"/>
        <v>1</v>
      </c>
      <c r="H357" s="9">
        <f t="shared" si="57"/>
        <v>1</v>
      </c>
      <c r="I357" s="9">
        <f t="shared" si="57"/>
        <v>0</v>
      </c>
      <c r="J357" s="9">
        <f t="shared" si="57"/>
        <v>-2</v>
      </c>
      <c r="K357" s="9">
        <f t="shared" si="57"/>
        <v>-2</v>
      </c>
      <c r="L357" s="9">
        <f t="shared" si="57"/>
        <v>0</v>
      </c>
      <c r="M357" s="9">
        <f t="shared" si="57"/>
        <v>0</v>
      </c>
      <c r="N357" s="9">
        <f t="shared" si="57"/>
        <v>0</v>
      </c>
      <c r="O357" s="9">
        <f t="shared" si="57"/>
        <v>0</v>
      </c>
      <c r="P357" s="9">
        <f t="shared" si="57"/>
        <v>0</v>
      </c>
      <c r="Q357" s="9">
        <f t="shared" si="57"/>
        <v>-1</v>
      </c>
      <c r="R357" s="9">
        <f t="shared" si="57"/>
        <v>0</v>
      </c>
      <c r="S357" s="9">
        <f t="shared" si="57"/>
        <v>1</v>
      </c>
      <c r="T357" s="9">
        <f t="shared" si="57"/>
        <v>0</v>
      </c>
      <c r="U357" s="9">
        <f t="shared" si="57"/>
        <v>0</v>
      </c>
      <c r="V357" s="9">
        <f t="shared" si="57"/>
        <v>1</v>
      </c>
      <c r="AF357" s="9"/>
      <c r="AG357" s="9"/>
    </row>
    <row r="358" spans="32:33" ht="12.75">
      <c r="AF358" s="9"/>
      <c r="AG358" s="9"/>
    </row>
    <row r="359" spans="1:33" ht="12.75">
      <c r="A359" s="18" t="s">
        <v>298</v>
      </c>
      <c r="AF359" s="9"/>
      <c r="AG359" s="9"/>
    </row>
    <row r="360" spans="1:33" ht="12.75">
      <c r="A360" s="18"/>
      <c r="AF360" s="9"/>
      <c r="AG360" s="9"/>
    </row>
    <row r="361" spans="1:33" ht="12.75">
      <c r="A361" s="18" t="s">
        <v>260</v>
      </c>
      <c r="B361" s="9">
        <f>1550+1199</f>
        <v>2749</v>
      </c>
      <c r="C361" s="9">
        <f>1310+1065</f>
        <v>2375</v>
      </c>
      <c r="D361" s="9">
        <f>664+672</f>
        <v>1336</v>
      </c>
      <c r="E361" s="9">
        <f>492+639</f>
        <v>1131</v>
      </c>
      <c r="F361" s="9">
        <f>471+532</f>
        <v>1003</v>
      </c>
      <c r="G361" s="9">
        <f>1371+1076</f>
        <v>2447</v>
      </c>
      <c r="H361" s="9">
        <f>1228+1050</f>
        <v>2278</v>
      </c>
      <c r="I361" s="9">
        <f>1181+1175</f>
        <v>2356</v>
      </c>
      <c r="J361" s="9">
        <f>1190+1185</f>
        <v>2375</v>
      </c>
      <c r="K361" s="9">
        <v>2263</v>
      </c>
      <c r="L361" s="9">
        <v>2009</v>
      </c>
      <c r="M361" s="9">
        <v>1875</v>
      </c>
      <c r="N361" s="9">
        <v>1627</v>
      </c>
      <c r="O361" s="9">
        <v>1491</v>
      </c>
      <c r="P361" s="9">
        <v>1603</v>
      </c>
      <c r="Q361" s="9">
        <v>1760</v>
      </c>
      <c r="R361" s="9">
        <v>788</v>
      </c>
      <c r="S361" s="9">
        <v>623</v>
      </c>
      <c r="T361" s="9">
        <v>535</v>
      </c>
      <c r="U361" s="9">
        <v>643</v>
      </c>
      <c r="V361" s="9">
        <v>700</v>
      </c>
      <c r="AF361" s="9"/>
      <c r="AG361" s="9"/>
    </row>
    <row r="362" spans="1:33" ht="12.75">
      <c r="A362" s="18" t="s">
        <v>99</v>
      </c>
      <c r="B362" s="9">
        <f>70+52</f>
        <v>122</v>
      </c>
      <c r="C362" s="9">
        <f>316+166</f>
        <v>482</v>
      </c>
      <c r="D362" s="9">
        <f>68+27</f>
        <v>95</v>
      </c>
      <c r="E362" s="9">
        <f>46+15</f>
        <v>61</v>
      </c>
      <c r="F362" s="9">
        <f>117+51</f>
        <v>168</v>
      </c>
      <c r="G362" s="9">
        <f>132+75</f>
        <v>207</v>
      </c>
      <c r="H362" s="9">
        <f>121+71</f>
        <v>192</v>
      </c>
      <c r="I362" s="9">
        <f>122+64</f>
        <v>186</v>
      </c>
      <c r="J362" s="9">
        <f>205+96</f>
        <v>301</v>
      </c>
      <c r="K362" s="9">
        <v>364</v>
      </c>
      <c r="AF362" s="9"/>
      <c r="AG362" s="9"/>
    </row>
    <row r="363" spans="1:33" ht="12.75">
      <c r="A363" s="18" t="s">
        <v>261</v>
      </c>
      <c r="B363" s="9">
        <f>2069+1592</f>
        <v>3661</v>
      </c>
      <c r="C363" s="9">
        <f>1657+1421</f>
        <v>3078</v>
      </c>
      <c r="D363" s="9">
        <f>1326+1202</f>
        <v>2528</v>
      </c>
      <c r="E363" s="9">
        <f>1191+1164</f>
        <v>2355</v>
      </c>
      <c r="F363" s="9">
        <f>1123+1024</f>
        <v>2147</v>
      </c>
      <c r="G363" s="9">
        <f>1524+1293</f>
        <v>2817</v>
      </c>
      <c r="H363" s="9">
        <f>1437+1268</f>
        <v>2705</v>
      </c>
      <c r="I363" s="9">
        <f>1420+1370</f>
        <v>2790</v>
      </c>
      <c r="J363" s="9">
        <f>1459+1269</f>
        <v>2728</v>
      </c>
      <c r="K363" s="9">
        <v>2580</v>
      </c>
      <c r="L363" s="9">
        <v>2502</v>
      </c>
      <c r="M363" s="9">
        <v>2229</v>
      </c>
      <c r="N363" s="9">
        <v>1779</v>
      </c>
      <c r="O363" s="9">
        <v>1637</v>
      </c>
      <c r="P363" s="9">
        <v>1721</v>
      </c>
      <c r="Q363" s="9">
        <v>1816</v>
      </c>
      <c r="R363" s="9">
        <v>2122</v>
      </c>
      <c r="S363" s="9">
        <v>1677</v>
      </c>
      <c r="T363" s="9">
        <v>1308</v>
      </c>
      <c r="U363" s="9">
        <v>1486</v>
      </c>
      <c r="V363" s="9">
        <v>1543</v>
      </c>
      <c r="AF363" s="9"/>
      <c r="AG363" s="9"/>
    </row>
    <row r="364" spans="1:33" ht="12.75">
      <c r="A364" s="18" t="s">
        <v>99</v>
      </c>
      <c r="B364" s="9">
        <f>46+34</f>
        <v>80</v>
      </c>
      <c r="C364" s="9">
        <f>814+367</f>
        <v>1181</v>
      </c>
      <c r="D364" s="9">
        <f>74+23</f>
        <v>97</v>
      </c>
      <c r="E364" s="9">
        <f>30+37</f>
        <v>67</v>
      </c>
      <c r="F364" s="9">
        <f>114+73</f>
        <v>187</v>
      </c>
      <c r="G364" s="9">
        <f>115+67</f>
        <v>182</v>
      </c>
      <c r="H364" s="9">
        <f>106+52</f>
        <v>158</v>
      </c>
      <c r="I364" s="9">
        <f>92+52</f>
        <v>144</v>
      </c>
      <c r="J364" s="9">
        <f>182+88</f>
        <v>270</v>
      </c>
      <c r="K364" s="9">
        <v>334</v>
      </c>
      <c r="AF364" s="9"/>
      <c r="AG364" s="9"/>
    </row>
    <row r="365" spans="1:33" ht="12.75">
      <c r="A365" s="18" t="s">
        <v>262</v>
      </c>
      <c r="B365" s="9">
        <f>6921+3017</f>
        <v>9938</v>
      </c>
      <c r="C365" s="9">
        <f>6456+2935</f>
        <v>9391</v>
      </c>
      <c r="D365" s="9">
        <f>5777+2639</f>
        <v>8416</v>
      </c>
      <c r="E365" s="9">
        <f>5754+2540</f>
        <v>8294</v>
      </c>
      <c r="F365" s="9">
        <f>5664+2424</f>
        <v>8088</v>
      </c>
      <c r="G365" s="9">
        <f>6289+2692</f>
        <v>8981</v>
      </c>
      <c r="H365" s="9">
        <f>6802+2644</f>
        <v>9446</v>
      </c>
      <c r="I365" s="9">
        <f>7405+3015</f>
        <v>10420</v>
      </c>
      <c r="J365" s="9">
        <f>6020+2556</f>
        <v>8576</v>
      </c>
      <c r="K365" s="9">
        <v>12525</v>
      </c>
      <c r="L365" s="9">
        <v>13515</v>
      </c>
      <c r="M365" s="9">
        <v>13321</v>
      </c>
      <c r="N365" s="9">
        <v>13631</v>
      </c>
      <c r="O365" s="9">
        <v>12241</v>
      </c>
      <c r="P365" s="9">
        <v>12410</v>
      </c>
      <c r="Q365" s="9">
        <v>12152</v>
      </c>
      <c r="R365" s="9">
        <v>10623</v>
      </c>
      <c r="S365" s="9">
        <v>11365</v>
      </c>
      <c r="T365" s="9">
        <v>11390</v>
      </c>
      <c r="U365" s="9">
        <v>9539</v>
      </c>
      <c r="V365" s="9">
        <v>9753</v>
      </c>
      <c r="AF365" s="9"/>
      <c r="AG365" s="9"/>
    </row>
    <row r="366" spans="1:33" ht="12.75">
      <c r="A366" s="18" t="s">
        <v>136</v>
      </c>
      <c r="B366" s="9">
        <f>133+219+152+364</f>
        <v>868</v>
      </c>
      <c r="C366" s="9">
        <f>106+200+150+188</f>
        <v>644</v>
      </c>
      <c r="D366" s="9">
        <f>179+218+114+239</f>
        <v>750</v>
      </c>
      <c r="E366" s="9">
        <f>145+242+80+251</f>
        <v>718</v>
      </c>
      <c r="F366" s="9">
        <f>176+240+102+296</f>
        <v>814</v>
      </c>
      <c r="G366" s="9">
        <f>132+223+79+197</f>
        <v>631</v>
      </c>
      <c r="H366" s="9">
        <f>127+379+113+307</f>
        <v>926</v>
      </c>
      <c r="I366" s="9">
        <f>145+228+328</f>
        <v>701</v>
      </c>
      <c r="J366" s="9">
        <f>119+267+81+266</f>
        <v>733</v>
      </c>
      <c r="K366" s="9">
        <v>1367</v>
      </c>
      <c r="L366" s="9">
        <v>803</v>
      </c>
      <c r="M366" s="9">
        <v>871</v>
      </c>
      <c r="N366" s="9">
        <v>991</v>
      </c>
      <c r="O366" s="9">
        <v>975</v>
      </c>
      <c r="P366" s="9">
        <v>958</v>
      </c>
      <c r="Q366" s="9">
        <v>1480</v>
      </c>
      <c r="R366" s="9">
        <v>1952</v>
      </c>
      <c r="S366" s="9">
        <v>2373</v>
      </c>
      <c r="T366" s="9">
        <v>2283</v>
      </c>
      <c r="U366" s="9">
        <v>2424</v>
      </c>
      <c r="V366" s="9">
        <v>1808</v>
      </c>
      <c r="AF366" s="9"/>
      <c r="AG366" s="9"/>
    </row>
    <row r="367" spans="1:33" ht="12.75">
      <c r="A367" s="18"/>
      <c r="AF367" s="9"/>
      <c r="AG367" s="9"/>
    </row>
    <row r="368" spans="1:33" ht="12.75">
      <c r="A368" s="18" t="s">
        <v>259</v>
      </c>
      <c r="B368" s="9">
        <f>420+912</f>
        <v>1332</v>
      </c>
      <c r="C368" s="9">
        <f>372+936</f>
        <v>1308</v>
      </c>
      <c r="D368" s="9">
        <f>351+947</f>
        <v>1298</v>
      </c>
      <c r="E368" s="9">
        <f>330+929</f>
        <v>1259</v>
      </c>
      <c r="F368" s="9">
        <f>388+936</f>
        <v>1324</v>
      </c>
      <c r="G368" s="9">
        <f>446+992</f>
        <v>1438</v>
      </c>
      <c r="H368" s="9">
        <f>427+979</f>
        <v>1406</v>
      </c>
      <c r="I368" s="9">
        <f>442+1122</f>
        <v>1564</v>
      </c>
      <c r="J368" s="9">
        <f>459+1102</f>
        <v>1561</v>
      </c>
      <c r="K368" s="9">
        <f>587+1239</f>
        <v>1826</v>
      </c>
      <c r="L368" s="9">
        <v>1483</v>
      </c>
      <c r="M368" s="9">
        <v>1223</v>
      </c>
      <c r="N368" s="9">
        <v>1081</v>
      </c>
      <c r="O368" s="9">
        <v>1139</v>
      </c>
      <c r="P368" s="9">
        <v>1148</v>
      </c>
      <c r="Q368" s="9">
        <v>1074</v>
      </c>
      <c r="R368" s="9">
        <v>1168</v>
      </c>
      <c r="S368" s="9">
        <v>1183</v>
      </c>
      <c r="T368" s="9">
        <v>1148</v>
      </c>
      <c r="U368" s="9">
        <v>978</v>
      </c>
      <c r="V368" s="9">
        <v>981</v>
      </c>
      <c r="AF368" s="9"/>
      <c r="AG368" s="9"/>
    </row>
    <row r="369" spans="1:33" ht="12.75">
      <c r="A369" s="18" t="s">
        <v>99</v>
      </c>
      <c r="B369" s="9">
        <f>777+474</f>
        <v>1251</v>
      </c>
      <c r="C369" s="9">
        <f>497+299</f>
        <v>796</v>
      </c>
      <c r="D369" s="9">
        <f>308+154</f>
        <v>462</v>
      </c>
      <c r="E369" s="9">
        <f>149+351</f>
        <v>500</v>
      </c>
      <c r="F369" s="9">
        <f>254+136</f>
        <v>390</v>
      </c>
      <c r="G369" s="9">
        <f>566+316</f>
        <v>882</v>
      </c>
      <c r="H369" s="9">
        <f>299+225</f>
        <v>524</v>
      </c>
      <c r="I369" s="9">
        <f>490+223</f>
        <v>713</v>
      </c>
      <c r="J369" s="9">
        <f>321+171</f>
        <v>492</v>
      </c>
      <c r="K369" s="9">
        <f>631+404</f>
        <v>1035</v>
      </c>
      <c r="AF369" s="9"/>
      <c r="AG369" s="9"/>
    </row>
    <row r="370" spans="1:33" ht="12.75">
      <c r="A370" s="18" t="s">
        <v>263</v>
      </c>
      <c r="B370" s="9">
        <f>1396+2783</f>
        <v>4179</v>
      </c>
      <c r="C370" s="9">
        <f>1325+2699</f>
        <v>4024</v>
      </c>
      <c r="D370" s="9">
        <f>1252+2595</f>
        <v>3847</v>
      </c>
      <c r="E370" s="9">
        <f>2681+1264</f>
        <v>3945</v>
      </c>
      <c r="F370" s="9">
        <f>2614+1277</f>
        <v>3891</v>
      </c>
      <c r="G370" s="9">
        <f>1572+3019</f>
        <v>4591</v>
      </c>
      <c r="H370" s="9">
        <f>1553+3120</f>
        <v>4673</v>
      </c>
      <c r="I370" s="9">
        <f>1459+3000</f>
        <v>4459</v>
      </c>
      <c r="J370" s="9">
        <f>1597+3050</f>
        <v>4647</v>
      </c>
      <c r="K370" s="9">
        <f>1862+3348</f>
        <v>5210</v>
      </c>
      <c r="L370" s="9">
        <v>5572</v>
      </c>
      <c r="M370" s="9">
        <v>5189</v>
      </c>
      <c r="N370" s="9">
        <v>4933</v>
      </c>
      <c r="O370" s="9">
        <v>4705</v>
      </c>
      <c r="P370" s="9">
        <v>4542</v>
      </c>
      <c r="Q370" s="9">
        <v>4527</v>
      </c>
      <c r="R370" s="9">
        <v>5748</v>
      </c>
      <c r="S370" s="9">
        <v>5675</v>
      </c>
      <c r="T370" s="9">
        <v>5697</v>
      </c>
      <c r="U370" s="9">
        <v>5232</v>
      </c>
      <c r="V370" s="9">
        <v>5241</v>
      </c>
      <c r="AF370" s="9"/>
      <c r="AG370" s="9"/>
    </row>
    <row r="371" spans="1:33" ht="12.75">
      <c r="A371" s="18" t="s">
        <v>99</v>
      </c>
      <c r="B371" s="9">
        <f>63+44</f>
        <v>107</v>
      </c>
      <c r="C371" s="9">
        <f>76+45</f>
        <v>121</v>
      </c>
      <c r="D371" s="9">
        <f>73+56</f>
        <v>129</v>
      </c>
      <c r="E371" s="9">
        <f>39+95</f>
        <v>134</v>
      </c>
      <c r="F371" s="9">
        <f>96+65</f>
        <v>161</v>
      </c>
      <c r="G371" s="9">
        <f>84+39</f>
        <v>123</v>
      </c>
      <c r="H371" s="9">
        <f>54+44</f>
        <v>98</v>
      </c>
      <c r="I371" s="9">
        <f>59+30</f>
        <v>89</v>
      </c>
      <c r="J371" s="9">
        <f>75+39</f>
        <v>114</v>
      </c>
      <c r="K371" s="9">
        <f>110+60</f>
        <v>170</v>
      </c>
      <c r="AF371" s="9"/>
      <c r="AG371" s="9"/>
    </row>
    <row r="372" spans="1:33" ht="12.75">
      <c r="A372" s="18"/>
      <c r="AF372" s="9"/>
      <c r="AG372" s="9"/>
    </row>
    <row r="373" spans="1:33" ht="12.75">
      <c r="A373" s="18" t="s">
        <v>297</v>
      </c>
      <c r="AF373" s="9"/>
      <c r="AG373" s="9"/>
    </row>
    <row r="374" spans="1:33" ht="12.75">
      <c r="A374" s="18" t="s">
        <v>264</v>
      </c>
      <c r="B374" s="9">
        <f>2789+2471</f>
        <v>5260</v>
      </c>
      <c r="C374" s="9">
        <f>2435+2302</f>
        <v>4737</v>
      </c>
      <c r="D374" s="9">
        <f>2280+2211</f>
        <v>4491</v>
      </c>
      <c r="E374" s="9">
        <f>2277+2098</f>
        <v>4375</v>
      </c>
      <c r="F374" s="9">
        <f>2357+2160</f>
        <v>4517</v>
      </c>
      <c r="G374" s="9">
        <f>2453+2228</f>
        <v>4681</v>
      </c>
      <c r="H374" s="9">
        <f>3024+2600</f>
        <v>5624</v>
      </c>
      <c r="I374" s="9">
        <f>2816+2353</f>
        <v>5169</v>
      </c>
      <c r="J374" s="9">
        <f>2684+2244</f>
        <v>4928</v>
      </c>
      <c r="K374" s="9">
        <v>6259</v>
      </c>
      <c r="L374" s="9">
        <v>7751</v>
      </c>
      <c r="M374" s="9">
        <v>6834</v>
      </c>
      <c r="N374" s="9">
        <v>6792</v>
      </c>
      <c r="O374" s="9">
        <v>6281</v>
      </c>
      <c r="P374" s="9">
        <v>7163</v>
      </c>
      <c r="Q374" s="9">
        <v>7266</v>
      </c>
      <c r="R374" s="9">
        <v>6703</v>
      </c>
      <c r="S374" s="9">
        <v>6168</v>
      </c>
      <c r="T374" s="9">
        <v>6430</v>
      </c>
      <c r="U374" s="9">
        <v>5285</v>
      </c>
      <c r="V374" s="9">
        <v>5828</v>
      </c>
      <c r="AF374" s="9"/>
      <c r="AG374" s="9"/>
    </row>
    <row r="375" spans="1:33" ht="12.75">
      <c r="A375" s="18" t="s">
        <v>136</v>
      </c>
      <c r="B375" s="9">
        <f>198+39+2434+32</f>
        <v>2703</v>
      </c>
      <c r="C375" s="9">
        <f>181+82+2683+49</f>
        <v>2995</v>
      </c>
      <c r="D375" s="9">
        <f>233+76+2540+64</f>
        <v>2913</v>
      </c>
      <c r="E375" s="9">
        <f>211+111+2556+47</f>
        <v>2925</v>
      </c>
      <c r="F375" s="9">
        <f>217+94+2665+42</f>
        <v>3018</v>
      </c>
      <c r="G375" s="9">
        <f>363+311+3054+223</f>
        <v>3951</v>
      </c>
      <c r="H375" s="9">
        <f>444+2332</f>
        <v>2776</v>
      </c>
      <c r="I375" s="9">
        <f>545+2666</f>
        <v>3211</v>
      </c>
      <c r="J375" s="9">
        <f>1385+3125</f>
        <v>4510</v>
      </c>
      <c r="K375" s="9">
        <v>3500</v>
      </c>
      <c r="L375" s="9">
        <v>140</v>
      </c>
      <c r="M375" s="9">
        <v>274</v>
      </c>
      <c r="N375" s="9">
        <v>256</v>
      </c>
      <c r="O375" s="9">
        <v>243</v>
      </c>
      <c r="P375" s="9">
        <v>132</v>
      </c>
      <c r="Q375" s="9">
        <v>365</v>
      </c>
      <c r="R375" s="9">
        <v>992</v>
      </c>
      <c r="S375" s="9">
        <v>1392</v>
      </c>
      <c r="T375" s="9">
        <v>1352</v>
      </c>
      <c r="U375" s="9">
        <v>1522</v>
      </c>
      <c r="V375" s="9">
        <v>1044</v>
      </c>
      <c r="AF375" s="9"/>
      <c r="AG375" s="9"/>
    </row>
    <row r="376" spans="1:33" ht="12.75">
      <c r="A376" s="18" t="s">
        <v>265</v>
      </c>
      <c r="B376" s="9">
        <f>6900+2446</f>
        <v>9346</v>
      </c>
      <c r="C376" s="9">
        <f>6399+2289</f>
        <v>8688</v>
      </c>
      <c r="D376" s="9">
        <f>6197+2278</f>
        <v>8475</v>
      </c>
      <c r="E376" s="9">
        <f>5502+2054</f>
        <v>7556</v>
      </c>
      <c r="F376" s="9">
        <f>6038+2110</f>
        <v>8148</v>
      </c>
      <c r="G376" s="9">
        <f>6300+2155</f>
        <v>8455</v>
      </c>
      <c r="H376" s="55" t="s">
        <v>242</v>
      </c>
      <c r="I376" s="55" t="s">
        <v>242</v>
      </c>
      <c r="J376" s="55" t="s">
        <v>242</v>
      </c>
      <c r="K376" s="9">
        <v>9617</v>
      </c>
      <c r="L376" s="9">
        <v>6039</v>
      </c>
      <c r="M376" s="9">
        <v>5592</v>
      </c>
      <c r="N376" s="9">
        <v>5410</v>
      </c>
      <c r="O376" s="9">
        <v>4849</v>
      </c>
      <c r="P376" s="9">
        <v>6198</v>
      </c>
      <c r="Q376" s="9">
        <v>4944</v>
      </c>
      <c r="R376" s="9">
        <v>4202</v>
      </c>
      <c r="S376" s="9">
        <v>3934</v>
      </c>
      <c r="T376" s="9">
        <v>3861</v>
      </c>
      <c r="U376" s="9">
        <v>3581</v>
      </c>
      <c r="V376" s="9">
        <v>3546</v>
      </c>
      <c r="AF376" s="9"/>
      <c r="AG376" s="9"/>
    </row>
    <row r="377" spans="1:33" ht="12.75">
      <c r="A377" s="18" t="s">
        <v>136</v>
      </c>
      <c r="B377" s="9">
        <f>131+66+2966+50</f>
        <v>3213</v>
      </c>
      <c r="C377" s="9">
        <f>123+83+2960+62</f>
        <v>3228</v>
      </c>
      <c r="D377" s="9">
        <f>140+90+2836+66</f>
        <v>3132</v>
      </c>
      <c r="E377" s="9">
        <f>155+91+2956+70</f>
        <v>3272</v>
      </c>
      <c r="F377" s="9">
        <f>3142+56+179+88</f>
        <v>3465</v>
      </c>
      <c r="G377" s="9">
        <f>3099+125+239+162</f>
        <v>3625</v>
      </c>
      <c r="H377" s="55" t="s">
        <v>242</v>
      </c>
      <c r="I377" s="55" t="s">
        <v>242</v>
      </c>
      <c r="J377" s="55" t="s">
        <v>242</v>
      </c>
      <c r="K377" s="9">
        <v>3525</v>
      </c>
      <c r="L377" s="9">
        <v>140</v>
      </c>
      <c r="M377" s="9">
        <v>274</v>
      </c>
      <c r="N377" s="9">
        <v>256</v>
      </c>
      <c r="O377" s="9">
        <v>243</v>
      </c>
      <c r="P377" s="9">
        <v>132</v>
      </c>
      <c r="Q377" s="9">
        <v>365</v>
      </c>
      <c r="R377" s="9">
        <v>992</v>
      </c>
      <c r="S377" s="9">
        <v>1392</v>
      </c>
      <c r="T377" s="9">
        <v>1352</v>
      </c>
      <c r="U377" s="9">
        <v>1522</v>
      </c>
      <c r="V377" s="9">
        <v>1044</v>
      </c>
      <c r="AF377" s="9"/>
      <c r="AG377" s="9"/>
    </row>
    <row r="378" spans="1:33" ht="12.75">
      <c r="A378" s="18" t="s">
        <v>266</v>
      </c>
      <c r="B378" s="9">
        <f>22631+12198</f>
        <v>34829</v>
      </c>
      <c r="C378" s="9">
        <f>22812+12055</f>
        <v>34867</v>
      </c>
      <c r="D378" s="9">
        <f>23314+11923</f>
        <v>35237</v>
      </c>
      <c r="E378" s="9">
        <f>23630+12109</f>
        <v>35739</v>
      </c>
      <c r="F378" s="9">
        <f>23837+12231</f>
        <v>36068</v>
      </c>
      <c r="G378" s="9">
        <f>24633+12138</f>
        <v>36771</v>
      </c>
      <c r="H378" s="55">
        <f>25119+12121</f>
        <v>37240</v>
      </c>
      <c r="I378" s="55">
        <f>25234+11933</f>
        <v>37167</v>
      </c>
      <c r="J378" s="55">
        <f>26040+12199</f>
        <v>38239</v>
      </c>
      <c r="K378" s="9">
        <v>38647</v>
      </c>
      <c r="L378" s="9">
        <f>19920+8350</f>
        <v>28270</v>
      </c>
      <c r="M378" s="9">
        <f>21380+7669</f>
        <v>29049</v>
      </c>
      <c r="N378" s="9">
        <f>22326+7603</f>
        <v>29929</v>
      </c>
      <c r="O378" s="9">
        <f>7655+21746</f>
        <v>29401</v>
      </c>
      <c r="P378" s="9">
        <f>22163+7747</f>
        <v>29910</v>
      </c>
      <c r="Q378" s="9">
        <f>22641+7994</f>
        <v>30635</v>
      </c>
      <c r="R378" s="9">
        <v>30087</v>
      </c>
      <c r="S378" s="9">
        <v>31903</v>
      </c>
      <c r="T378" s="9">
        <f>24586+8507</f>
        <v>33093</v>
      </c>
      <c r="U378" s="9">
        <v>33067</v>
      </c>
      <c r="V378" s="9">
        <f>24984+8735</f>
        <v>33719</v>
      </c>
      <c r="AF378" s="9"/>
      <c r="AG378" s="9"/>
    </row>
    <row r="379" spans="1:33" ht="12.75">
      <c r="A379" s="18"/>
      <c r="H379" s="52"/>
      <c r="I379" s="52"/>
      <c r="J379" s="52" t="s">
        <v>324</v>
      </c>
      <c r="AF379" s="9"/>
      <c r="AG379" s="9"/>
    </row>
    <row r="380" ht="12.75">
      <c r="A380" s="18" t="s">
        <v>359</v>
      </c>
    </row>
    <row r="381" spans="1:22" ht="12.75">
      <c r="A381" s="18" t="s">
        <v>33</v>
      </c>
      <c r="B381" s="54">
        <v>40035</v>
      </c>
      <c r="C381" s="54">
        <v>38459</v>
      </c>
      <c r="D381" s="54">
        <v>39236</v>
      </c>
      <c r="E381" s="54">
        <v>38825</v>
      </c>
      <c r="F381" s="54">
        <v>39052</v>
      </c>
      <c r="G381" s="55" t="s">
        <v>242</v>
      </c>
      <c r="H381" s="55" t="s">
        <v>242</v>
      </c>
      <c r="I381" s="55" t="s">
        <v>242</v>
      </c>
      <c r="J381" s="55" t="s">
        <v>242</v>
      </c>
      <c r="K381" s="55" t="s">
        <v>242</v>
      </c>
      <c r="L381" s="54">
        <f>L24-SUM(L382:L383)</f>
        <v>37364</v>
      </c>
      <c r="M381" s="54">
        <f>M24-SUM(M382:M382)</f>
        <v>71964</v>
      </c>
      <c r="N381" s="54">
        <f aca="true" t="shared" si="58" ref="N381:V381">N24-SUM(N382:N383)</f>
        <v>33354</v>
      </c>
      <c r="O381" s="54">
        <f t="shared" si="58"/>
        <v>31031</v>
      </c>
      <c r="P381" s="54">
        <f t="shared" si="58"/>
        <v>30474</v>
      </c>
      <c r="Q381" s="54">
        <f t="shared" si="58"/>
        <v>27787</v>
      </c>
      <c r="R381" s="54">
        <f t="shared" si="58"/>
        <v>24844</v>
      </c>
      <c r="S381" s="54">
        <f t="shared" si="58"/>
        <v>21066</v>
      </c>
      <c r="T381" s="54">
        <f t="shared" si="58"/>
        <v>19137</v>
      </c>
      <c r="U381" s="54">
        <f t="shared" si="58"/>
        <v>17041</v>
      </c>
      <c r="V381" s="54">
        <f t="shared" si="58"/>
        <v>15139</v>
      </c>
    </row>
    <row r="382" spans="1:22" ht="12.75">
      <c r="A382" s="18" t="s">
        <v>244</v>
      </c>
      <c r="B382" s="54">
        <v>22630</v>
      </c>
      <c r="C382" s="54">
        <v>23065</v>
      </c>
      <c r="D382" s="54">
        <v>22781</v>
      </c>
      <c r="E382" s="54">
        <v>23466</v>
      </c>
      <c r="F382" s="54">
        <v>23589</v>
      </c>
      <c r="G382" s="57" t="s">
        <v>242</v>
      </c>
      <c r="H382" s="57" t="s">
        <v>242</v>
      </c>
      <c r="I382" s="57" t="s">
        <v>242</v>
      </c>
      <c r="J382" s="57" t="s">
        <v>242</v>
      </c>
      <c r="K382" s="57" t="s">
        <v>242</v>
      </c>
      <c r="L382" s="9">
        <f>18504+6421+2341</f>
        <v>27266</v>
      </c>
      <c r="M382" s="9">
        <f>18512+6856+2483</f>
        <v>27851</v>
      </c>
      <c r="N382" s="9">
        <f>18714+7286+2618</f>
        <v>28618</v>
      </c>
      <c r="O382" s="9">
        <f>18521+7172+2530</f>
        <v>28223</v>
      </c>
      <c r="P382" s="9">
        <f>17866+7069+2598</f>
        <v>27533</v>
      </c>
      <c r="Q382" s="9">
        <f>18214+7626+2772</f>
        <v>28612</v>
      </c>
      <c r="R382" s="9">
        <v>28154</v>
      </c>
      <c r="S382" s="9">
        <v>28766</v>
      </c>
      <c r="T382" s="9">
        <v>28673</v>
      </c>
      <c r="U382" s="9">
        <v>28973</v>
      </c>
      <c r="V382" s="9">
        <f>13994+8023+4527</f>
        <v>26544</v>
      </c>
    </row>
    <row r="383" spans="1:22" ht="12.75">
      <c r="A383" s="18" t="s">
        <v>245</v>
      </c>
      <c r="B383" s="54">
        <v>12628</v>
      </c>
      <c r="C383" s="54">
        <v>14362</v>
      </c>
      <c r="D383" s="54">
        <v>15536</v>
      </c>
      <c r="E383" s="54">
        <v>17024</v>
      </c>
      <c r="F383" s="54">
        <v>18075</v>
      </c>
      <c r="G383" s="57" t="s">
        <v>242</v>
      </c>
      <c r="H383" s="57" t="s">
        <v>242</v>
      </c>
      <c r="I383" s="57" t="s">
        <v>242</v>
      </c>
      <c r="J383" s="57" t="s">
        <v>242</v>
      </c>
      <c r="K383" s="57" t="s">
        <v>242</v>
      </c>
      <c r="L383" s="9">
        <v>32119</v>
      </c>
      <c r="M383" s="9">
        <v>36223</v>
      </c>
      <c r="N383" s="9">
        <v>40808</v>
      </c>
      <c r="O383" s="9">
        <v>42610</v>
      </c>
      <c r="P383" s="9">
        <v>45515</v>
      </c>
      <c r="Q383" s="9">
        <v>50004</v>
      </c>
      <c r="R383" s="9">
        <v>56193</v>
      </c>
      <c r="S383" s="9">
        <v>62460</v>
      </c>
      <c r="T383" s="9">
        <v>68228</v>
      </c>
      <c r="U383" s="9">
        <v>71197</v>
      </c>
      <c r="V383" s="9">
        <f>73545+5304</f>
        <v>78849</v>
      </c>
    </row>
    <row r="384" spans="1:22" ht="12.75">
      <c r="A384" s="40" t="s">
        <v>148</v>
      </c>
      <c r="B384" s="9">
        <f aca="true" t="shared" si="59" ref="B384:K384">B24-SUM(B381:B383)</f>
        <v>0</v>
      </c>
      <c r="C384" s="9">
        <f t="shared" si="59"/>
        <v>0</v>
      </c>
      <c r="D384" s="9">
        <f t="shared" si="59"/>
        <v>0</v>
      </c>
      <c r="E384" s="9">
        <f t="shared" si="59"/>
        <v>1</v>
      </c>
      <c r="F384" s="9">
        <f t="shared" si="59"/>
        <v>0</v>
      </c>
      <c r="G384" s="9">
        <f t="shared" si="59"/>
        <v>82833</v>
      </c>
      <c r="H384" s="9">
        <f t="shared" si="59"/>
        <v>84586</v>
      </c>
      <c r="I384" s="9">
        <f t="shared" si="59"/>
        <v>86024</v>
      </c>
      <c r="J384" s="9">
        <f t="shared" si="59"/>
        <v>89610</v>
      </c>
      <c r="K384" s="9">
        <f t="shared" si="59"/>
        <v>91675</v>
      </c>
      <c r="L384" s="14" t="s">
        <v>242</v>
      </c>
      <c r="M384" s="14" t="s">
        <v>242</v>
      </c>
      <c r="N384" s="14" t="s">
        <v>242</v>
      </c>
      <c r="O384" s="14" t="s">
        <v>242</v>
      </c>
      <c r="P384" s="14" t="s">
        <v>242</v>
      </c>
      <c r="Q384" s="14" t="s">
        <v>242</v>
      </c>
      <c r="R384" s="14" t="s">
        <v>242</v>
      </c>
      <c r="S384" s="14" t="s">
        <v>242</v>
      </c>
      <c r="T384" s="14" t="s">
        <v>242</v>
      </c>
      <c r="U384" s="14" t="s">
        <v>242</v>
      </c>
      <c r="V384" s="14" t="s">
        <v>242</v>
      </c>
    </row>
    <row r="385" spans="10:11" ht="12.75">
      <c r="J385" s="52"/>
      <c r="K385" s="56" t="s">
        <v>321</v>
      </c>
    </row>
    <row r="386" spans="1:33" ht="12.75">
      <c r="A386" s="5" t="s">
        <v>240</v>
      </c>
      <c r="B386" s="14" t="s">
        <v>242</v>
      </c>
      <c r="C386" s="14" t="s">
        <v>242</v>
      </c>
      <c r="D386" s="14" t="s">
        <v>242</v>
      </c>
      <c r="E386" s="14" t="s">
        <v>242</v>
      </c>
      <c r="F386" s="14" t="s">
        <v>242</v>
      </c>
      <c r="G386" s="14" t="s">
        <v>242</v>
      </c>
      <c r="H386" s="14" t="s">
        <v>242</v>
      </c>
      <c r="I386" s="14" t="s">
        <v>242</v>
      </c>
      <c r="J386" s="14" t="s">
        <v>242</v>
      </c>
      <c r="K386" s="14" t="s">
        <v>242</v>
      </c>
      <c r="L386" s="9">
        <v>1559</v>
      </c>
      <c r="M386" s="9">
        <v>1224</v>
      </c>
      <c r="N386" s="9">
        <v>3161</v>
      </c>
      <c r="O386" s="9">
        <v>2874</v>
      </c>
      <c r="P386" s="9">
        <v>1901</v>
      </c>
      <c r="Q386" s="9">
        <v>2022</v>
      </c>
      <c r="R386" s="9">
        <v>1796</v>
      </c>
      <c r="S386" s="9">
        <v>2052</v>
      </c>
      <c r="T386" s="9">
        <v>2126</v>
      </c>
      <c r="U386" s="9">
        <v>1970</v>
      </c>
      <c r="V386" s="9">
        <v>2021</v>
      </c>
      <c r="AF386" s="9"/>
      <c r="AG386" s="9"/>
    </row>
    <row r="387" spans="1:33" ht="12.75">
      <c r="A387" s="2" t="s">
        <v>53</v>
      </c>
      <c r="B387" s="14" t="s">
        <v>242</v>
      </c>
      <c r="C387" s="14" t="s">
        <v>242</v>
      </c>
      <c r="D387" s="14" t="s">
        <v>242</v>
      </c>
      <c r="E387" s="14" t="s">
        <v>242</v>
      </c>
      <c r="F387" s="14" t="s">
        <v>242</v>
      </c>
      <c r="G387" s="14" t="s">
        <v>242</v>
      </c>
      <c r="H387" s="14" t="s">
        <v>242</v>
      </c>
      <c r="I387" s="14" t="s">
        <v>242</v>
      </c>
      <c r="J387" s="14" t="s">
        <v>242</v>
      </c>
      <c r="K387" s="14" t="s">
        <v>242</v>
      </c>
      <c r="L387" s="9">
        <v>660</v>
      </c>
      <c r="M387" s="9">
        <v>574</v>
      </c>
      <c r="N387" s="9">
        <v>2529</v>
      </c>
      <c r="O387" s="9">
        <v>2278</v>
      </c>
      <c r="P387" s="9">
        <v>1379</v>
      </c>
      <c r="Q387" s="9">
        <v>1459</v>
      </c>
      <c r="R387" s="9">
        <v>1169</v>
      </c>
      <c r="S387" s="9">
        <v>1436</v>
      </c>
      <c r="T387" s="9">
        <v>1376</v>
      </c>
      <c r="U387" s="9">
        <v>1355</v>
      </c>
      <c r="V387" s="9">
        <v>1297</v>
      </c>
      <c r="AF387" s="9"/>
      <c r="AG387" s="9"/>
    </row>
    <row r="388" spans="1:33" ht="12.75">
      <c r="A388" s="2" t="s">
        <v>54</v>
      </c>
      <c r="B388" s="14" t="s">
        <v>242</v>
      </c>
      <c r="C388" s="14" t="s">
        <v>242</v>
      </c>
      <c r="D388" s="14" t="s">
        <v>242</v>
      </c>
      <c r="E388" s="14" t="s">
        <v>242</v>
      </c>
      <c r="F388" s="14" t="s">
        <v>242</v>
      </c>
      <c r="G388" s="14" t="s">
        <v>242</v>
      </c>
      <c r="H388" s="14" t="s">
        <v>242</v>
      </c>
      <c r="I388" s="14" t="s">
        <v>242</v>
      </c>
      <c r="J388" s="14" t="s">
        <v>242</v>
      </c>
      <c r="K388" s="14" t="s">
        <v>242</v>
      </c>
      <c r="L388" s="9">
        <v>474</v>
      </c>
      <c r="M388" s="9">
        <v>340</v>
      </c>
      <c r="N388" s="9">
        <v>391</v>
      </c>
      <c r="O388" s="9">
        <v>341</v>
      </c>
      <c r="P388" s="9">
        <v>287</v>
      </c>
      <c r="Q388" s="9">
        <v>361</v>
      </c>
      <c r="R388" s="9">
        <v>469</v>
      </c>
      <c r="S388" s="9">
        <v>490</v>
      </c>
      <c r="T388" s="9">
        <v>614</v>
      </c>
      <c r="U388" s="9">
        <v>495</v>
      </c>
      <c r="V388" s="9">
        <v>642</v>
      </c>
      <c r="AF388" s="9"/>
      <c r="AG388" s="9"/>
    </row>
    <row r="389" spans="1:33" ht="12.75">
      <c r="A389" s="2" t="s">
        <v>55</v>
      </c>
      <c r="B389" s="14" t="s">
        <v>242</v>
      </c>
      <c r="C389" s="14" t="s">
        <v>242</v>
      </c>
      <c r="D389" s="14" t="s">
        <v>242</v>
      </c>
      <c r="E389" s="14" t="s">
        <v>242</v>
      </c>
      <c r="F389" s="14" t="s">
        <v>242</v>
      </c>
      <c r="G389" s="14" t="s">
        <v>242</v>
      </c>
      <c r="H389" s="14" t="s">
        <v>242</v>
      </c>
      <c r="I389" s="14" t="s">
        <v>242</v>
      </c>
      <c r="J389" s="14" t="s">
        <v>242</v>
      </c>
      <c r="K389" s="14" t="s">
        <v>242</v>
      </c>
      <c r="L389" s="9">
        <v>82</v>
      </c>
      <c r="M389" s="9">
        <v>94</v>
      </c>
      <c r="N389" s="9">
        <v>87</v>
      </c>
      <c r="O389" s="9">
        <v>67</v>
      </c>
      <c r="P389" s="9">
        <v>70</v>
      </c>
      <c r="Q389" s="9">
        <v>61</v>
      </c>
      <c r="R389" s="9">
        <v>105</v>
      </c>
      <c r="S389" s="9">
        <v>104</v>
      </c>
      <c r="T389" s="9">
        <v>79</v>
      </c>
      <c r="U389" s="9">
        <v>93</v>
      </c>
      <c r="V389" s="9">
        <v>72</v>
      </c>
      <c r="AF389" s="9"/>
      <c r="AG389" s="9"/>
    </row>
    <row r="390" spans="1:33" ht="12.75">
      <c r="A390" s="2" t="s">
        <v>56</v>
      </c>
      <c r="B390" s="14" t="s">
        <v>242</v>
      </c>
      <c r="C390" s="14" t="s">
        <v>242</v>
      </c>
      <c r="D390" s="14" t="s">
        <v>242</v>
      </c>
      <c r="E390" s="14" t="s">
        <v>242</v>
      </c>
      <c r="F390" s="14" t="s">
        <v>242</v>
      </c>
      <c r="G390" s="14" t="s">
        <v>242</v>
      </c>
      <c r="H390" s="14" t="s">
        <v>242</v>
      </c>
      <c r="I390" s="14" t="s">
        <v>242</v>
      </c>
      <c r="J390" s="14" t="s">
        <v>242</v>
      </c>
      <c r="K390" s="14" t="s">
        <v>242</v>
      </c>
      <c r="L390" s="9">
        <v>453</v>
      </c>
      <c r="M390" s="9">
        <v>304</v>
      </c>
      <c r="N390" s="9">
        <v>233</v>
      </c>
      <c r="O390" s="9">
        <v>249</v>
      </c>
      <c r="P390" s="9">
        <v>220</v>
      </c>
      <c r="Q390" s="9">
        <v>182</v>
      </c>
      <c r="R390" s="9">
        <v>125</v>
      </c>
      <c r="S390" s="9">
        <v>90</v>
      </c>
      <c r="T390" s="9">
        <v>111</v>
      </c>
      <c r="U390" s="9">
        <v>87</v>
      </c>
      <c r="V390" s="9">
        <v>53</v>
      </c>
      <c r="AF390" s="9"/>
      <c r="AG390" s="9"/>
    </row>
    <row r="391" spans="1:33" ht="12.75">
      <c r="A391" s="2" t="s">
        <v>57</v>
      </c>
      <c r="B391" s="14" t="s">
        <v>242</v>
      </c>
      <c r="C391" s="14" t="s">
        <v>242</v>
      </c>
      <c r="D391" s="14" t="s">
        <v>242</v>
      </c>
      <c r="E391" s="14" t="s">
        <v>242</v>
      </c>
      <c r="F391" s="14" t="s">
        <v>242</v>
      </c>
      <c r="G391" s="14" t="s">
        <v>242</v>
      </c>
      <c r="H391" s="14" t="s">
        <v>242</v>
      </c>
      <c r="I391" s="14" t="s">
        <v>242</v>
      </c>
      <c r="J391" s="14" t="s">
        <v>242</v>
      </c>
      <c r="K391" s="14" t="s">
        <v>242</v>
      </c>
      <c r="L391" s="9">
        <v>13</v>
      </c>
      <c r="M391" s="9">
        <v>3</v>
      </c>
      <c r="N391" s="9">
        <v>0</v>
      </c>
      <c r="O391" s="9">
        <v>3</v>
      </c>
      <c r="P391" s="9">
        <v>6</v>
      </c>
      <c r="Q391" s="9">
        <v>6</v>
      </c>
      <c r="R391" s="9">
        <v>4</v>
      </c>
      <c r="S391" s="9">
        <v>7</v>
      </c>
      <c r="T391" s="9">
        <v>7</v>
      </c>
      <c r="U391" s="9">
        <v>7</v>
      </c>
      <c r="V391" s="9">
        <v>0</v>
      </c>
      <c r="AF391" s="9"/>
      <c r="AG391" s="9"/>
    </row>
    <row r="392" spans="1:33" ht="12.75">
      <c r="A392" s="2"/>
      <c r="R392" s="10"/>
      <c r="S392" s="10"/>
      <c r="T392" s="10"/>
      <c r="U392" s="10"/>
      <c r="V392" s="10"/>
      <c r="AF392" s="9"/>
      <c r="AG392" s="9"/>
    </row>
    <row r="393" spans="1:33" ht="12.75">
      <c r="A393" s="5" t="s">
        <v>241</v>
      </c>
      <c r="B393" s="14" t="s">
        <v>242</v>
      </c>
      <c r="C393" s="14" t="s">
        <v>242</v>
      </c>
      <c r="D393" s="14" t="s">
        <v>242</v>
      </c>
      <c r="E393" s="14" t="s">
        <v>242</v>
      </c>
      <c r="F393" s="14" t="s">
        <v>242</v>
      </c>
      <c r="G393" s="14" t="s">
        <v>242</v>
      </c>
      <c r="H393" s="14" t="s">
        <v>242</v>
      </c>
      <c r="I393" s="14" t="s">
        <v>242</v>
      </c>
      <c r="J393" s="14" t="s">
        <v>242</v>
      </c>
      <c r="K393" s="14" t="s">
        <v>242</v>
      </c>
      <c r="L393" s="9">
        <v>5814</v>
      </c>
      <c r="M393" s="9">
        <v>5184</v>
      </c>
      <c r="N393" s="9">
        <v>4442</v>
      </c>
      <c r="O393" s="9">
        <v>4531</v>
      </c>
      <c r="P393" s="9">
        <v>4225</v>
      </c>
      <c r="Q393" s="9">
        <v>4348</v>
      </c>
      <c r="R393" s="9">
        <v>5191</v>
      </c>
      <c r="S393" s="9">
        <v>4826</v>
      </c>
      <c r="T393" s="9">
        <v>4537</v>
      </c>
      <c r="U393" s="9">
        <v>4320</v>
      </c>
      <c r="V393" s="9">
        <v>4175</v>
      </c>
      <c r="AF393" s="9"/>
      <c r="AG393" s="9"/>
    </row>
    <row r="394" spans="1:33" ht="12.75">
      <c r="A394" s="2" t="s">
        <v>53</v>
      </c>
      <c r="B394" s="14" t="s">
        <v>242</v>
      </c>
      <c r="C394" s="14" t="s">
        <v>242</v>
      </c>
      <c r="D394" s="14" t="s">
        <v>242</v>
      </c>
      <c r="E394" s="14" t="s">
        <v>242</v>
      </c>
      <c r="F394" s="14" t="s">
        <v>242</v>
      </c>
      <c r="G394" s="14" t="s">
        <v>242</v>
      </c>
      <c r="H394" s="14" t="s">
        <v>242</v>
      </c>
      <c r="I394" s="14" t="s">
        <v>242</v>
      </c>
      <c r="J394" s="14" t="s">
        <v>242</v>
      </c>
      <c r="K394" s="14" t="s">
        <v>242</v>
      </c>
      <c r="L394" s="9">
        <v>274</v>
      </c>
      <c r="M394" s="9">
        <v>331</v>
      </c>
      <c r="N394" s="9">
        <v>258</v>
      </c>
      <c r="O394" s="9">
        <v>295</v>
      </c>
      <c r="P394" s="9">
        <v>287</v>
      </c>
      <c r="Q394" s="9">
        <v>276</v>
      </c>
      <c r="R394" s="9">
        <v>304</v>
      </c>
      <c r="S394" s="9">
        <v>219</v>
      </c>
      <c r="T394" s="9">
        <v>261</v>
      </c>
      <c r="U394" s="9">
        <v>195</v>
      </c>
      <c r="V394" s="9">
        <v>155</v>
      </c>
      <c r="AF394" s="9"/>
      <c r="AG394" s="9"/>
    </row>
    <row r="395" spans="1:33" ht="12.75">
      <c r="A395" s="2" t="s">
        <v>54</v>
      </c>
      <c r="B395" s="14" t="s">
        <v>242</v>
      </c>
      <c r="C395" s="14" t="s">
        <v>242</v>
      </c>
      <c r="D395" s="14" t="s">
        <v>242</v>
      </c>
      <c r="E395" s="14" t="s">
        <v>242</v>
      </c>
      <c r="F395" s="14" t="s">
        <v>242</v>
      </c>
      <c r="G395" s="14" t="s">
        <v>242</v>
      </c>
      <c r="H395" s="14" t="s">
        <v>242</v>
      </c>
      <c r="I395" s="14" t="s">
        <v>242</v>
      </c>
      <c r="J395" s="14" t="s">
        <v>242</v>
      </c>
      <c r="K395" s="14" t="s">
        <v>242</v>
      </c>
      <c r="L395" s="9">
        <v>2485</v>
      </c>
      <c r="M395" s="9">
        <v>2257</v>
      </c>
      <c r="N395" s="9">
        <v>1912</v>
      </c>
      <c r="O395" s="9">
        <v>1977</v>
      </c>
      <c r="P395" s="9">
        <v>1528</v>
      </c>
      <c r="Q395" s="9">
        <v>1579</v>
      </c>
      <c r="R395" s="9">
        <v>1684</v>
      </c>
      <c r="S395" s="9">
        <v>1728</v>
      </c>
      <c r="T395" s="9">
        <v>1513</v>
      </c>
      <c r="U395" s="9">
        <v>1447</v>
      </c>
      <c r="V395" s="9">
        <v>1273</v>
      </c>
      <c r="AF395" s="9"/>
      <c r="AG395" s="9"/>
    </row>
    <row r="396" spans="1:33" ht="12.75">
      <c r="A396" s="2" t="s">
        <v>56</v>
      </c>
      <c r="B396" s="14" t="s">
        <v>242</v>
      </c>
      <c r="C396" s="14" t="s">
        <v>242</v>
      </c>
      <c r="D396" s="14" t="s">
        <v>242</v>
      </c>
      <c r="E396" s="14" t="s">
        <v>242</v>
      </c>
      <c r="F396" s="14" t="s">
        <v>242</v>
      </c>
      <c r="G396" s="14" t="s">
        <v>242</v>
      </c>
      <c r="H396" s="14" t="s">
        <v>242</v>
      </c>
      <c r="I396" s="14" t="s">
        <v>242</v>
      </c>
      <c r="J396" s="14" t="s">
        <v>242</v>
      </c>
      <c r="K396" s="14" t="s">
        <v>242</v>
      </c>
      <c r="L396" s="9">
        <v>2585</v>
      </c>
      <c r="M396" s="9">
        <v>2253</v>
      </c>
      <c r="N396" s="9">
        <v>1855</v>
      </c>
      <c r="O396" s="9">
        <v>1914</v>
      </c>
      <c r="P396" s="9">
        <v>1880</v>
      </c>
      <c r="Q396" s="9">
        <v>1887</v>
      </c>
      <c r="R396" s="9">
        <v>1414</v>
      </c>
      <c r="S396" s="9">
        <v>1478</v>
      </c>
      <c r="T396" s="9">
        <v>1454</v>
      </c>
      <c r="U396" s="9">
        <v>1303</v>
      </c>
      <c r="V396" s="9">
        <v>1213</v>
      </c>
      <c r="AF396" s="9"/>
      <c r="AG396" s="9"/>
    </row>
    <row r="397" spans="1:33" ht="12.75">
      <c r="A397" s="2" t="s">
        <v>57</v>
      </c>
      <c r="B397" s="14" t="s">
        <v>242</v>
      </c>
      <c r="C397" s="14" t="s">
        <v>242</v>
      </c>
      <c r="D397" s="14" t="s">
        <v>242</v>
      </c>
      <c r="E397" s="14" t="s">
        <v>242</v>
      </c>
      <c r="F397" s="14" t="s">
        <v>242</v>
      </c>
      <c r="G397" s="14" t="s">
        <v>242</v>
      </c>
      <c r="H397" s="14" t="s">
        <v>242</v>
      </c>
      <c r="I397" s="14" t="s">
        <v>242</v>
      </c>
      <c r="J397" s="14" t="s">
        <v>242</v>
      </c>
      <c r="K397" s="14" t="s">
        <v>242</v>
      </c>
      <c r="L397" s="9">
        <v>88</v>
      </c>
      <c r="M397" s="9">
        <v>34</v>
      </c>
      <c r="N397" s="9">
        <v>62</v>
      </c>
      <c r="O397" s="9">
        <v>47</v>
      </c>
      <c r="P397" s="9">
        <v>48</v>
      </c>
      <c r="Q397" s="9">
        <v>36</v>
      </c>
      <c r="R397" s="9">
        <v>89</v>
      </c>
      <c r="S397" s="9">
        <v>125</v>
      </c>
      <c r="T397" s="9">
        <v>98</v>
      </c>
      <c r="U397" s="9">
        <v>148</v>
      </c>
      <c r="V397" s="9">
        <v>118</v>
      </c>
      <c r="AF397" s="9"/>
      <c r="AG397" s="9"/>
    </row>
    <row r="398" spans="1:33" ht="12.75">
      <c r="A398" s="2" t="s">
        <v>58</v>
      </c>
      <c r="B398" s="14" t="s">
        <v>242</v>
      </c>
      <c r="C398" s="14" t="s">
        <v>242</v>
      </c>
      <c r="D398" s="14" t="s">
        <v>242</v>
      </c>
      <c r="E398" s="14" t="s">
        <v>242</v>
      </c>
      <c r="F398" s="14" t="s">
        <v>242</v>
      </c>
      <c r="G398" s="14" t="s">
        <v>242</v>
      </c>
      <c r="H398" s="14" t="s">
        <v>242</v>
      </c>
      <c r="I398" s="14" t="s">
        <v>242</v>
      </c>
      <c r="J398" s="14" t="s">
        <v>242</v>
      </c>
      <c r="K398" s="14" t="s">
        <v>242</v>
      </c>
      <c r="L398" s="9">
        <v>860</v>
      </c>
      <c r="M398" s="9">
        <v>749</v>
      </c>
      <c r="N398" s="9">
        <v>658</v>
      </c>
      <c r="O398" s="9">
        <v>560</v>
      </c>
      <c r="P398" s="9">
        <v>737</v>
      </c>
      <c r="Q398" s="9">
        <v>794</v>
      </c>
      <c r="R398" s="9">
        <v>1959</v>
      </c>
      <c r="S398" s="9">
        <v>1512</v>
      </c>
      <c r="T398" s="9">
        <v>1443</v>
      </c>
      <c r="U398" s="9">
        <v>1410</v>
      </c>
      <c r="V398" s="9">
        <v>1544</v>
      </c>
      <c r="AF398" s="9"/>
      <c r="AG398" s="9"/>
    </row>
    <row r="399" spans="32:33" ht="12.75">
      <c r="AF399" s="9"/>
      <c r="AG399" s="9"/>
    </row>
    <row r="400" spans="1:33" ht="12.75">
      <c r="A400" s="18" t="s">
        <v>274</v>
      </c>
      <c r="F400" s="1"/>
      <c r="AF400" s="9"/>
      <c r="AG400" s="9"/>
    </row>
    <row r="401" spans="1:33" ht="12.75">
      <c r="A401" s="18"/>
      <c r="AF401" s="9"/>
      <c r="AG401" s="9"/>
    </row>
    <row r="402" spans="1:33" ht="12.75">
      <c r="A402" s="18" t="s">
        <v>33</v>
      </c>
      <c r="M402" s="9">
        <v>14523</v>
      </c>
      <c r="N402" s="9">
        <v>12904</v>
      </c>
      <c r="O402" s="9">
        <v>15764</v>
      </c>
      <c r="P402" s="9">
        <v>16853</v>
      </c>
      <c r="Q402" s="9">
        <v>17367</v>
      </c>
      <c r="AF402" s="9"/>
      <c r="AG402" s="9"/>
    </row>
    <row r="403" spans="1:33" ht="12.75">
      <c r="A403" s="18" t="s">
        <v>275</v>
      </c>
      <c r="B403" s="9">
        <f>4925+3619</f>
        <v>8544</v>
      </c>
      <c r="C403" s="9">
        <f>6392+3916</f>
        <v>10308</v>
      </c>
      <c r="D403" s="9">
        <f>6438+3975</f>
        <v>10413</v>
      </c>
      <c r="E403" s="9">
        <f>6898+4445</f>
        <v>11343</v>
      </c>
      <c r="F403" s="52">
        <f>2708+3119+335+1668+1649+451</f>
        <v>9930</v>
      </c>
      <c r="G403" s="50" t="s">
        <v>242</v>
      </c>
      <c r="H403" s="52">
        <f>5382+3867</f>
        <v>9249</v>
      </c>
      <c r="I403" s="50" t="s">
        <v>242</v>
      </c>
      <c r="J403" s="52">
        <f>5239+3555</f>
        <v>8794</v>
      </c>
      <c r="K403" s="52">
        <f>5202+3536</f>
        <v>8738</v>
      </c>
      <c r="L403" s="9">
        <f>21914+2968</f>
        <v>24882</v>
      </c>
      <c r="M403" s="9">
        <f>6466+721</f>
        <v>7187</v>
      </c>
      <c r="N403" s="9">
        <f>5596+609</f>
        <v>6205</v>
      </c>
      <c r="O403" s="9">
        <f>5810+554</f>
        <v>6364</v>
      </c>
      <c r="P403" s="9">
        <f>5725+720</f>
        <v>6445</v>
      </c>
      <c r="Q403" s="9">
        <f>5808+609</f>
        <v>6417</v>
      </c>
      <c r="R403" s="9">
        <v>9437</v>
      </c>
      <c r="S403" s="9">
        <v>9063</v>
      </c>
      <c r="T403" s="9">
        <v>9746</v>
      </c>
      <c r="U403" s="9">
        <v>9313</v>
      </c>
      <c r="V403" s="9">
        <f>6578+2757</f>
        <v>9335</v>
      </c>
      <c r="AF403" s="9"/>
      <c r="AG403" s="9"/>
    </row>
    <row r="404" spans="1:33" ht="12.75">
      <c r="A404" s="18" t="s">
        <v>99</v>
      </c>
      <c r="B404" s="9">
        <f>43+109</f>
        <v>152</v>
      </c>
      <c r="C404" s="9">
        <f>104+95</f>
        <v>199</v>
      </c>
      <c r="D404" s="9">
        <f>149+131</f>
        <v>280</v>
      </c>
      <c r="E404" s="9">
        <f>117+90</f>
        <v>207</v>
      </c>
      <c r="F404" s="52">
        <f>164+156</f>
        <v>320</v>
      </c>
      <c r="G404" s="50" t="s">
        <v>242</v>
      </c>
      <c r="H404" s="52">
        <f>181+104</f>
        <v>285</v>
      </c>
      <c r="I404" s="50" t="s">
        <v>242</v>
      </c>
      <c r="J404" s="52">
        <f>227+140</f>
        <v>367</v>
      </c>
      <c r="K404" s="52">
        <f>254+166</f>
        <v>420</v>
      </c>
      <c r="L404" s="9">
        <v>641</v>
      </c>
      <c r="M404" s="9">
        <v>2532</v>
      </c>
      <c r="N404" s="44">
        <v>5957</v>
      </c>
      <c r="O404" s="9">
        <v>2484</v>
      </c>
      <c r="P404" s="9">
        <v>1487</v>
      </c>
      <c r="Q404" s="9">
        <v>1384</v>
      </c>
      <c r="R404" s="9">
        <v>2239</v>
      </c>
      <c r="S404" s="9">
        <v>2949</v>
      </c>
      <c r="T404" s="9">
        <v>2321</v>
      </c>
      <c r="U404" s="9">
        <v>2700</v>
      </c>
      <c r="V404" s="9">
        <v>2552</v>
      </c>
      <c r="AF404" s="9"/>
      <c r="AG404" s="9"/>
    </row>
    <row r="405" spans="1:33" ht="12.75">
      <c r="A405" s="18"/>
      <c r="F405" s="52"/>
      <c r="G405" s="50"/>
      <c r="H405" s="52"/>
      <c r="I405" s="50"/>
      <c r="J405" s="52"/>
      <c r="K405" s="52"/>
      <c r="M405" s="48"/>
      <c r="N405" s="48"/>
      <c r="O405" s="48"/>
      <c r="P405" s="48"/>
      <c r="Q405" s="48" t="s">
        <v>301</v>
      </c>
      <c r="AF405" s="9"/>
      <c r="AG405" s="9"/>
    </row>
    <row r="406" spans="1:33" ht="12.75">
      <c r="A406" s="18" t="s">
        <v>386</v>
      </c>
      <c r="F406" s="52"/>
      <c r="G406" s="50"/>
      <c r="H406" s="52"/>
      <c r="I406" s="50"/>
      <c r="J406" s="52"/>
      <c r="K406" s="52"/>
      <c r="M406" s="1">
        <v>14890</v>
      </c>
      <c r="N406" s="1">
        <v>13628</v>
      </c>
      <c r="O406" s="1">
        <v>18506</v>
      </c>
      <c r="P406" s="1">
        <v>17379</v>
      </c>
      <c r="Q406" s="1">
        <v>17909</v>
      </c>
      <c r="AF406" s="9"/>
      <c r="AG406" s="9"/>
    </row>
    <row r="407" spans="1:33" ht="12.75">
      <c r="A407" s="18" t="s">
        <v>276</v>
      </c>
      <c r="B407" s="9">
        <f>6761+3021</f>
        <v>9782</v>
      </c>
      <c r="C407" s="9">
        <f>9663+4078</f>
        <v>13741</v>
      </c>
      <c r="D407" s="9">
        <f>8730+3648</f>
        <v>12378</v>
      </c>
      <c r="E407" s="9">
        <f>8846+4114</f>
        <v>12960</v>
      </c>
      <c r="F407" s="52">
        <f>3694+3325+288+1597+1267+227</f>
        <v>10398</v>
      </c>
      <c r="G407" s="50" t="s">
        <v>242</v>
      </c>
      <c r="H407" s="52">
        <f>7348+3267</f>
        <v>10615</v>
      </c>
      <c r="I407" s="50" t="s">
        <v>242</v>
      </c>
      <c r="J407" s="52">
        <f>6174+2749</f>
        <v>8923</v>
      </c>
      <c r="K407" s="52">
        <f>6387+2907</f>
        <v>9294</v>
      </c>
      <c r="L407" s="9">
        <f>25987+4773</f>
        <v>30760</v>
      </c>
      <c r="M407" s="9">
        <f>5822+632</f>
        <v>6454</v>
      </c>
      <c r="N407" s="9">
        <f>4635+506</f>
        <v>5141</v>
      </c>
      <c r="O407" s="9">
        <f>4802+479</f>
        <v>5281</v>
      </c>
      <c r="P407" s="9">
        <f>4863+589</f>
        <v>5452</v>
      </c>
      <c r="Q407" s="9">
        <f>5039+520</f>
        <v>5559</v>
      </c>
      <c r="R407" s="9">
        <v>32921</v>
      </c>
      <c r="S407" s="9">
        <v>33046</v>
      </c>
      <c r="T407" s="9">
        <v>36504</v>
      </c>
      <c r="U407" s="9">
        <v>37907</v>
      </c>
      <c r="V407" s="9">
        <f>32875+6411</f>
        <v>39286</v>
      </c>
      <c r="AF407" s="9"/>
      <c r="AG407" s="9"/>
    </row>
    <row r="408" spans="1:33" ht="12.75">
      <c r="A408" s="18" t="s">
        <v>302</v>
      </c>
      <c r="B408" s="9">
        <f>43+109</f>
        <v>152</v>
      </c>
      <c r="C408" s="9">
        <f>104+95</f>
        <v>199</v>
      </c>
      <c r="D408" s="9">
        <f>149+131</f>
        <v>280</v>
      </c>
      <c r="E408" s="9">
        <f>117+90</f>
        <v>207</v>
      </c>
      <c r="F408" s="52">
        <f>148+161</f>
        <v>309</v>
      </c>
      <c r="G408" s="50" t="s">
        <v>242</v>
      </c>
      <c r="H408" s="52">
        <f>169+132</f>
        <v>301</v>
      </c>
      <c r="I408" s="50" t="s">
        <v>242</v>
      </c>
      <c r="J408" s="52">
        <f>211+152</f>
        <v>363</v>
      </c>
      <c r="K408" s="52">
        <f>203+162</f>
        <v>365</v>
      </c>
      <c r="L408" s="9">
        <f>1789+775</f>
        <v>2564</v>
      </c>
      <c r="M408" s="9">
        <f>334+2564</f>
        <v>2898</v>
      </c>
      <c r="N408" s="44">
        <f>310+5987</f>
        <v>6297</v>
      </c>
      <c r="O408" s="9">
        <f>305+2519</f>
        <v>2824</v>
      </c>
      <c r="P408" s="9">
        <f>453+1500</f>
        <v>1953</v>
      </c>
      <c r="Q408" s="9">
        <f>295+1405</f>
        <v>1700</v>
      </c>
      <c r="R408" s="9">
        <v>3569</v>
      </c>
      <c r="S408" s="9">
        <v>4541</v>
      </c>
      <c r="T408" s="9">
        <v>3818</v>
      </c>
      <c r="U408" s="9">
        <v>4469</v>
      </c>
      <c r="V408" s="9">
        <f>1101+2872</f>
        <v>3973</v>
      </c>
      <c r="AF408" s="9"/>
      <c r="AG408" s="9"/>
    </row>
    <row r="409" spans="1:33" ht="12.75">
      <c r="A409" s="18"/>
      <c r="F409" s="52"/>
      <c r="G409" s="50"/>
      <c r="H409" s="52"/>
      <c r="I409" s="50"/>
      <c r="J409" s="52"/>
      <c r="K409" s="52"/>
      <c r="M409" s="48"/>
      <c r="N409" s="48"/>
      <c r="O409" s="48"/>
      <c r="P409" s="48"/>
      <c r="Q409" s="48" t="s">
        <v>301</v>
      </c>
      <c r="AF409" s="9"/>
      <c r="AG409" s="9"/>
    </row>
    <row r="410" spans="1:33" ht="12.75">
      <c r="A410" s="18" t="s">
        <v>277</v>
      </c>
      <c r="B410" s="9">
        <f>5105+2935</f>
        <v>8040</v>
      </c>
      <c r="C410" s="9">
        <f>2623+4617</f>
        <v>7240</v>
      </c>
      <c r="D410" s="9">
        <f>4088+2324</f>
        <v>6412</v>
      </c>
      <c r="E410" s="9">
        <f>2602+4398</f>
        <v>7000</v>
      </c>
      <c r="F410" s="52">
        <f>1691+1181+269+924+702+244</f>
        <v>5011</v>
      </c>
      <c r="G410" s="50" t="s">
        <v>242</v>
      </c>
      <c r="H410" s="52">
        <f>2896+1866</f>
        <v>4762</v>
      </c>
      <c r="I410" s="50" t="s">
        <v>242</v>
      </c>
      <c r="J410" s="52">
        <f>2593+1677</f>
        <v>4270</v>
      </c>
      <c r="K410" s="52">
        <f>2822+1852</f>
        <v>4674</v>
      </c>
      <c r="R410" s="9">
        <v>6838</v>
      </c>
      <c r="S410" s="9">
        <v>6343</v>
      </c>
      <c r="T410" s="9">
        <v>6462</v>
      </c>
      <c r="U410" s="9">
        <v>5625</v>
      </c>
      <c r="V410" s="9">
        <v>5991</v>
      </c>
      <c r="AF410" s="9"/>
      <c r="AG410" s="9"/>
    </row>
    <row r="411" spans="1:33" ht="12.75">
      <c r="A411" s="18" t="s">
        <v>306</v>
      </c>
      <c r="B411" s="9">
        <f>43+109</f>
        <v>152</v>
      </c>
      <c r="C411" s="9">
        <f>104+95</f>
        <v>199</v>
      </c>
      <c r="D411" s="9">
        <f>149+131</f>
        <v>280</v>
      </c>
      <c r="E411" s="9">
        <f>117+90</f>
        <v>207</v>
      </c>
      <c r="F411" s="52">
        <f>139+152</f>
        <v>291</v>
      </c>
      <c r="G411" s="50" t="s">
        <v>242</v>
      </c>
      <c r="H411" s="52">
        <f>171+89</f>
        <v>260</v>
      </c>
      <c r="I411" s="50" t="s">
        <v>242</v>
      </c>
      <c r="J411" s="52">
        <f>238+148</f>
        <v>386</v>
      </c>
      <c r="K411" s="52">
        <f>243+164</f>
        <v>407</v>
      </c>
      <c r="R411" s="9">
        <v>953</v>
      </c>
      <c r="S411" s="9">
        <v>1522</v>
      </c>
      <c r="T411" s="9">
        <v>1305</v>
      </c>
      <c r="U411" s="9">
        <v>1739</v>
      </c>
      <c r="V411" s="9">
        <v>1194</v>
      </c>
      <c r="AF411" s="9"/>
      <c r="AG411" s="9"/>
    </row>
    <row r="412" spans="1:33" ht="12.75">
      <c r="A412" s="18"/>
      <c r="F412" s="52"/>
      <c r="G412" s="50"/>
      <c r="H412" s="52"/>
      <c r="I412" s="50"/>
      <c r="J412" s="52"/>
      <c r="K412" s="52"/>
      <c r="AF412" s="9"/>
      <c r="AG412" s="9"/>
    </row>
    <row r="413" spans="1:33" ht="12.75">
      <c r="A413" s="18" t="s">
        <v>33</v>
      </c>
      <c r="F413" s="52"/>
      <c r="G413" s="50"/>
      <c r="H413" s="52"/>
      <c r="I413" s="50"/>
      <c r="J413" s="52"/>
      <c r="K413" s="52"/>
      <c r="M413" s="9">
        <v>19862</v>
      </c>
      <c r="N413" s="9">
        <v>17449</v>
      </c>
      <c r="O413" s="9">
        <v>20373</v>
      </c>
      <c r="P413" s="9">
        <v>21228</v>
      </c>
      <c r="Q413" s="9">
        <v>22065</v>
      </c>
      <c r="AF413" s="9"/>
      <c r="AG413" s="9"/>
    </row>
    <row r="414" spans="1:33" ht="12.75">
      <c r="A414" s="18" t="s">
        <v>299</v>
      </c>
      <c r="B414" s="9">
        <f>2194+1824</f>
        <v>4018</v>
      </c>
      <c r="C414" s="9">
        <f>2646+2188</f>
        <v>4834</v>
      </c>
      <c r="D414" s="9">
        <f>2697+2265</f>
        <v>4962</v>
      </c>
      <c r="E414" s="9">
        <f>2784+2453</f>
        <v>5237</v>
      </c>
      <c r="F414" s="52">
        <f>721+676+130+633+484+188</f>
        <v>2832</v>
      </c>
      <c r="G414" s="50" t="s">
        <v>242</v>
      </c>
      <c r="H414" s="52">
        <f>1275+1151</f>
        <v>2426</v>
      </c>
      <c r="I414" s="50" t="s">
        <v>242</v>
      </c>
      <c r="J414" s="52">
        <f>1295+1080</f>
        <v>2375</v>
      </c>
      <c r="K414" s="52">
        <f>1379+1123</f>
        <v>2502</v>
      </c>
      <c r="L414" s="9">
        <f>1407+1806</f>
        <v>3213</v>
      </c>
      <c r="M414" s="9">
        <f>391+578</f>
        <v>969</v>
      </c>
      <c r="N414" s="9">
        <f>319+660</f>
        <v>979</v>
      </c>
      <c r="O414" s="9">
        <f>383+670</f>
        <v>1053</v>
      </c>
      <c r="P414" s="9">
        <f>418+821</f>
        <v>1239</v>
      </c>
      <c r="Q414" s="9">
        <f>443+664</f>
        <v>1107</v>
      </c>
      <c r="R414" s="9">
        <v>4933</v>
      </c>
      <c r="S414" s="9">
        <v>4996</v>
      </c>
      <c r="T414" s="9">
        <v>5011</v>
      </c>
      <c r="U414" s="9">
        <v>4875</v>
      </c>
      <c r="V414" s="9">
        <f>2615+2466</f>
        <v>5081</v>
      </c>
      <c r="AF414" s="9"/>
      <c r="AG414" s="9"/>
    </row>
    <row r="415" spans="1:33" ht="12.75">
      <c r="A415" s="18" t="s">
        <v>300</v>
      </c>
      <c r="B415" s="9">
        <f>43+109</f>
        <v>152</v>
      </c>
      <c r="C415" s="9">
        <f>104+95</f>
        <v>199</v>
      </c>
      <c r="D415" s="9">
        <f>149+131</f>
        <v>280</v>
      </c>
      <c r="E415" s="9">
        <f>117+90</f>
        <v>207</v>
      </c>
      <c r="F415" s="52">
        <f>138+134</f>
        <v>272</v>
      </c>
      <c r="G415" s="50" t="s">
        <v>242</v>
      </c>
      <c r="H415" s="52">
        <f>182+104</f>
        <v>286</v>
      </c>
      <c r="I415" s="50" t="s">
        <v>242</v>
      </c>
      <c r="J415" s="52">
        <f>236+156</f>
        <v>392</v>
      </c>
      <c r="K415" s="52">
        <f>268+176</f>
        <v>444</v>
      </c>
      <c r="L415" s="44">
        <f>4529+2018</f>
        <v>6547</v>
      </c>
      <c r="M415" s="44">
        <f>2987+424</f>
        <v>3411</v>
      </c>
      <c r="N415" s="44">
        <f>273+6364</f>
        <v>6637</v>
      </c>
      <c r="O415" s="9">
        <f>360+2825</f>
        <v>3185</v>
      </c>
      <c r="P415" s="9">
        <f>419+1898</f>
        <v>2317</v>
      </c>
      <c r="Q415" s="9">
        <f>1606+390</f>
        <v>1996</v>
      </c>
      <c r="R415" s="9">
        <v>7669</v>
      </c>
      <c r="S415" s="9">
        <v>8725</v>
      </c>
      <c r="T415" s="9">
        <v>8812</v>
      </c>
      <c r="U415" s="9">
        <v>9152</v>
      </c>
      <c r="V415" s="9">
        <f>4985+2973</f>
        <v>7958</v>
      </c>
      <c r="AF415" s="9"/>
      <c r="AG415" s="9"/>
    </row>
    <row r="416" spans="1:33" ht="12.75">
      <c r="A416" s="18"/>
      <c r="F416" s="52"/>
      <c r="G416" s="50"/>
      <c r="H416" s="52"/>
      <c r="I416" s="50"/>
      <c r="J416" s="52"/>
      <c r="K416" s="52"/>
      <c r="M416" s="48"/>
      <c r="N416" s="48"/>
      <c r="O416" s="48"/>
      <c r="P416" s="48"/>
      <c r="Q416" s="48" t="s">
        <v>301</v>
      </c>
      <c r="AF416" s="9"/>
      <c r="AG416" s="9"/>
    </row>
    <row r="417" spans="1:33" ht="12.75">
      <c r="A417" s="18" t="s">
        <v>278</v>
      </c>
      <c r="B417" s="9">
        <f>4926+4222</f>
        <v>9148</v>
      </c>
      <c r="C417" s="9">
        <f>6939+5176</f>
        <v>12115</v>
      </c>
      <c r="D417" s="9">
        <f>7573+5757</f>
        <v>13330</v>
      </c>
      <c r="E417" s="9">
        <f>5727+7425</f>
        <v>13152</v>
      </c>
      <c r="F417" s="52">
        <f>2628+2998+556+1679+1906+923</f>
        <v>10690</v>
      </c>
      <c r="G417" s="50" t="s">
        <v>242</v>
      </c>
      <c r="H417" s="52">
        <f>5765+4542</f>
        <v>10307</v>
      </c>
      <c r="I417" s="50" t="s">
        <v>242</v>
      </c>
      <c r="J417" s="52">
        <f>7764+5255</f>
        <v>13019</v>
      </c>
      <c r="K417" s="52">
        <f>6450+5123</f>
        <v>11573</v>
      </c>
      <c r="L417" s="9">
        <v>4046</v>
      </c>
      <c r="M417" s="9">
        <v>4218</v>
      </c>
      <c r="N417" s="9">
        <v>5843</v>
      </c>
      <c r="O417" s="9">
        <v>6701</v>
      </c>
      <c r="P417" s="9">
        <v>6828</v>
      </c>
      <c r="Q417" s="9">
        <v>6926</v>
      </c>
      <c r="R417" s="9">
        <v>10378</v>
      </c>
      <c r="S417" s="9">
        <v>8384</v>
      </c>
      <c r="T417" s="9">
        <v>9215</v>
      </c>
      <c r="U417" s="9">
        <v>9021</v>
      </c>
      <c r="V417" s="9">
        <v>9447</v>
      </c>
      <c r="AF417" s="9"/>
      <c r="AG417" s="9"/>
    </row>
    <row r="418" spans="1:33" ht="12.75">
      <c r="A418" s="18" t="s">
        <v>99</v>
      </c>
      <c r="B418" s="9">
        <f>43+109</f>
        <v>152</v>
      </c>
      <c r="C418" s="9">
        <f>104+95</f>
        <v>199</v>
      </c>
      <c r="D418" s="9">
        <f>149+131</f>
        <v>280</v>
      </c>
      <c r="E418" s="9">
        <f>117+90</f>
        <v>207</v>
      </c>
      <c r="F418" s="52">
        <f>233+257</f>
        <v>490</v>
      </c>
      <c r="G418" s="50" t="s">
        <v>242</v>
      </c>
      <c r="H418" s="52">
        <f>226+232</f>
        <v>458</v>
      </c>
      <c r="I418" s="50" t="s">
        <v>242</v>
      </c>
      <c r="J418" s="52">
        <f>240+247</f>
        <v>487</v>
      </c>
      <c r="K418" s="52">
        <f>272+242</f>
        <v>514</v>
      </c>
      <c r="L418" s="9">
        <v>293</v>
      </c>
      <c r="M418" s="9">
        <v>295</v>
      </c>
      <c r="N418" s="9">
        <v>410</v>
      </c>
      <c r="O418" s="9">
        <v>335</v>
      </c>
      <c r="P418" s="9">
        <v>188</v>
      </c>
      <c r="Q418" s="9">
        <v>468</v>
      </c>
      <c r="R418" s="9">
        <v>1468</v>
      </c>
      <c r="S418" s="9">
        <v>2087</v>
      </c>
      <c r="T418" s="9">
        <v>2082</v>
      </c>
      <c r="U418" s="9">
        <v>2476</v>
      </c>
      <c r="V418" s="9">
        <v>1939</v>
      </c>
      <c r="AF418" s="9"/>
      <c r="AG418" s="9"/>
    </row>
    <row r="419" spans="1:33" ht="12.75">
      <c r="A419" s="18"/>
      <c r="F419" s="52"/>
      <c r="G419" s="52"/>
      <c r="H419" s="52"/>
      <c r="I419" s="52"/>
      <c r="J419" s="52"/>
      <c r="K419" s="52" t="s">
        <v>327</v>
      </c>
      <c r="AF419" s="9"/>
      <c r="AG419" s="9"/>
    </row>
    <row r="420" spans="1:33" ht="12.75">
      <c r="A420" s="19" t="s">
        <v>296</v>
      </c>
      <c r="AF420" s="9"/>
      <c r="AG420" s="9"/>
    </row>
    <row r="421" spans="32:33" ht="12.75">
      <c r="AF421" s="9"/>
      <c r="AG421" s="9"/>
    </row>
    <row r="422" spans="1:33" ht="12.75">
      <c r="A422" s="18" t="s">
        <v>279</v>
      </c>
      <c r="C422" s="48"/>
      <c r="D422" s="48"/>
      <c r="E422" s="48"/>
      <c r="F422" s="48"/>
      <c r="G422" s="48"/>
      <c r="H422" s="48"/>
      <c r="I422" s="48"/>
      <c r="J422" s="48" t="s">
        <v>288</v>
      </c>
      <c r="V422" s="9" t="s">
        <v>295</v>
      </c>
      <c r="AF422" s="9"/>
      <c r="AG422" s="9"/>
    </row>
    <row r="423" spans="1:33" ht="12.75">
      <c r="A423" s="18" t="s">
        <v>280</v>
      </c>
      <c r="B423" s="14" t="s">
        <v>242</v>
      </c>
      <c r="C423" s="53">
        <f>12393+7045</f>
        <v>19438</v>
      </c>
      <c r="D423" s="53">
        <f>9690+5772</f>
        <v>15462</v>
      </c>
      <c r="E423" s="53">
        <f>9817+5924</f>
        <v>15741</v>
      </c>
      <c r="F423" s="53">
        <f>10260+6032</f>
        <v>16292</v>
      </c>
      <c r="G423" s="53">
        <f>10239+6106</f>
        <v>16345</v>
      </c>
      <c r="H423" s="53">
        <f>10520+6209</f>
        <v>16729</v>
      </c>
      <c r="I423" s="53">
        <f>10658+6042</f>
        <v>16700</v>
      </c>
      <c r="J423" s="53">
        <f>10819+6304</f>
        <v>17123</v>
      </c>
      <c r="K423" s="14" t="s">
        <v>242</v>
      </c>
      <c r="L423" s="14" t="s">
        <v>242</v>
      </c>
      <c r="M423" s="14" t="s">
        <v>242</v>
      </c>
      <c r="N423" s="14" t="s">
        <v>242</v>
      </c>
      <c r="O423" s="14" t="s">
        <v>242</v>
      </c>
      <c r="P423" s="14" t="s">
        <v>242</v>
      </c>
      <c r="Q423" s="14" t="s">
        <v>242</v>
      </c>
      <c r="R423" s="9">
        <v>19932</v>
      </c>
      <c r="S423" s="9">
        <v>20008</v>
      </c>
      <c r="T423" s="9">
        <v>20418</v>
      </c>
      <c r="U423" s="9">
        <v>19112</v>
      </c>
      <c r="V423" s="9">
        <v>19783</v>
      </c>
      <c r="AF423" s="9"/>
      <c r="AG423" s="9"/>
    </row>
    <row r="424" spans="1:33" ht="12.75">
      <c r="A424" s="18" t="s">
        <v>281</v>
      </c>
      <c r="B424" s="14" t="s">
        <v>242</v>
      </c>
      <c r="C424" s="53">
        <f>9903+5190</f>
        <v>15093</v>
      </c>
      <c r="D424" s="53">
        <f>9756+5061</f>
        <v>14817</v>
      </c>
      <c r="E424" s="53">
        <f>10197+5268</f>
        <v>15465</v>
      </c>
      <c r="F424" s="53">
        <f>10430+5540</f>
        <v>15970</v>
      </c>
      <c r="G424" s="53">
        <f>11084+5643</f>
        <v>16727</v>
      </c>
      <c r="H424" s="53">
        <f>11114+5676</f>
        <v>16790</v>
      </c>
      <c r="I424" s="53">
        <f>11075+5674</f>
        <v>16749</v>
      </c>
      <c r="J424" s="53">
        <f>11666+6090</f>
        <v>17756</v>
      </c>
      <c r="K424" s="14" t="s">
        <v>242</v>
      </c>
      <c r="L424" s="14" t="s">
        <v>242</v>
      </c>
      <c r="M424" s="14" t="s">
        <v>242</v>
      </c>
      <c r="N424" s="14" t="s">
        <v>242</v>
      </c>
      <c r="O424" s="14" t="s">
        <v>242</v>
      </c>
      <c r="P424" s="14" t="s">
        <v>242</v>
      </c>
      <c r="Q424" s="14" t="s">
        <v>242</v>
      </c>
      <c r="R424" s="9">
        <v>20652</v>
      </c>
      <c r="S424" s="9">
        <v>20995</v>
      </c>
      <c r="T424" s="9">
        <v>21443</v>
      </c>
      <c r="U424" s="9">
        <v>20551</v>
      </c>
      <c r="V424" s="9">
        <v>21687</v>
      </c>
      <c r="AF424" s="9"/>
      <c r="AG424" s="9"/>
    </row>
    <row r="425" spans="1:33" ht="12.75">
      <c r="A425" s="18" t="s">
        <v>282</v>
      </c>
      <c r="B425" s="14" t="s">
        <v>242</v>
      </c>
      <c r="C425" s="53">
        <f>5272+2574</f>
        <v>7846</v>
      </c>
      <c r="D425" s="53">
        <f>4936+2165</f>
        <v>7101</v>
      </c>
      <c r="E425" s="53">
        <f>4779+2130</f>
        <v>6909</v>
      </c>
      <c r="F425" s="53">
        <f>4779+2176</f>
        <v>6955</v>
      </c>
      <c r="G425" s="53">
        <f>4965+2374</f>
        <v>7339</v>
      </c>
      <c r="H425" s="53">
        <f>5000+2380</f>
        <v>7380</v>
      </c>
      <c r="I425" s="53">
        <f>4884+2267</f>
        <v>7151</v>
      </c>
      <c r="J425" s="53">
        <f>5132+2441</f>
        <v>7573</v>
      </c>
      <c r="K425" s="14" t="s">
        <v>242</v>
      </c>
      <c r="L425" s="14" t="s">
        <v>242</v>
      </c>
      <c r="M425" s="14" t="s">
        <v>242</v>
      </c>
      <c r="N425" s="14" t="s">
        <v>242</v>
      </c>
      <c r="O425" s="14" t="s">
        <v>242</v>
      </c>
      <c r="P425" s="14" t="s">
        <v>242</v>
      </c>
      <c r="Q425" s="14" t="s">
        <v>242</v>
      </c>
      <c r="R425" s="9">
        <v>8643</v>
      </c>
      <c r="S425" s="9">
        <v>9228</v>
      </c>
      <c r="T425" s="9">
        <v>9221</v>
      </c>
      <c r="U425" s="9">
        <v>9150</v>
      </c>
      <c r="V425" s="9">
        <v>9945</v>
      </c>
      <c r="AF425" s="9"/>
      <c r="AG425" s="9"/>
    </row>
    <row r="426" spans="1:33" ht="12.75">
      <c r="A426" s="18" t="s">
        <v>283</v>
      </c>
      <c r="B426" s="14" t="s">
        <v>242</v>
      </c>
      <c r="C426" s="53">
        <f>1988+919</f>
        <v>2907</v>
      </c>
      <c r="D426" s="53">
        <f>1702+811</f>
        <v>2513</v>
      </c>
      <c r="E426" s="53">
        <f>1666+756</f>
        <v>2422</v>
      </c>
      <c r="F426" s="53">
        <f>1691+811</f>
        <v>2502</v>
      </c>
      <c r="G426" s="53">
        <f>1741+833</f>
        <v>2574</v>
      </c>
      <c r="H426" s="53">
        <f>1831+807</f>
        <v>2638</v>
      </c>
      <c r="I426" s="53">
        <f>1889+861</f>
        <v>2750</v>
      </c>
      <c r="J426" s="53">
        <f>1931+851</f>
        <v>2782</v>
      </c>
      <c r="K426" s="14" t="s">
        <v>242</v>
      </c>
      <c r="L426" s="14" t="s">
        <v>242</v>
      </c>
      <c r="M426" s="14" t="s">
        <v>242</v>
      </c>
      <c r="N426" s="14" t="s">
        <v>242</v>
      </c>
      <c r="O426" s="14" t="s">
        <v>242</v>
      </c>
      <c r="P426" s="14" t="s">
        <v>242</v>
      </c>
      <c r="Q426" s="14" t="s">
        <v>242</v>
      </c>
      <c r="R426" s="9">
        <v>3487</v>
      </c>
      <c r="S426" s="9">
        <v>3682</v>
      </c>
      <c r="T426" s="9">
        <v>3812</v>
      </c>
      <c r="U426" s="9">
        <v>3865</v>
      </c>
      <c r="V426" s="9">
        <v>4081</v>
      </c>
      <c r="AF426" s="9"/>
      <c r="AG426" s="9"/>
    </row>
    <row r="427" spans="1:33" ht="12.75">
      <c r="A427" s="18" t="s">
        <v>284</v>
      </c>
      <c r="B427" s="14" t="s">
        <v>242</v>
      </c>
      <c r="C427" s="53">
        <f>1348+601</f>
        <v>1949</v>
      </c>
      <c r="D427" s="53">
        <f>1220+539</f>
        <v>1759</v>
      </c>
      <c r="E427" s="53">
        <f>1192+529</f>
        <v>1721</v>
      </c>
      <c r="F427" s="53">
        <f>1142+538</f>
        <v>1680</v>
      </c>
      <c r="G427" s="53">
        <f>1287+628</f>
        <v>1915</v>
      </c>
      <c r="H427" s="53">
        <f>1297+614</f>
        <v>1911</v>
      </c>
      <c r="I427" s="53">
        <f>1193+658</f>
        <v>1851</v>
      </c>
      <c r="J427" s="53">
        <f>1280+677</f>
        <v>1957</v>
      </c>
      <c r="K427" s="14" t="s">
        <v>242</v>
      </c>
      <c r="L427" s="14" t="s">
        <v>242</v>
      </c>
      <c r="M427" s="14" t="s">
        <v>242</v>
      </c>
      <c r="N427" s="14" t="s">
        <v>242</v>
      </c>
      <c r="O427" s="14" t="s">
        <v>242</v>
      </c>
      <c r="P427" s="14" t="s">
        <v>242</v>
      </c>
      <c r="Q427" s="14" t="s">
        <v>242</v>
      </c>
      <c r="R427" s="9">
        <v>2052</v>
      </c>
      <c r="S427" s="9">
        <v>2150</v>
      </c>
      <c r="T427" s="9">
        <v>2272</v>
      </c>
      <c r="U427" s="9">
        <v>2107</v>
      </c>
      <c r="V427" s="9">
        <v>2331</v>
      </c>
      <c r="AF427" s="9"/>
      <c r="AG427" s="9"/>
    </row>
    <row r="428" spans="1:33" ht="12.75">
      <c r="A428" s="18" t="s">
        <v>285</v>
      </c>
      <c r="B428" s="14" t="s">
        <v>242</v>
      </c>
      <c r="C428" s="53">
        <f>432+176</f>
        <v>608</v>
      </c>
      <c r="D428" s="53">
        <f>375+141</f>
        <v>516</v>
      </c>
      <c r="E428" s="53">
        <f>356+164</f>
        <v>520</v>
      </c>
      <c r="F428" s="53">
        <f>419+173</f>
        <v>592</v>
      </c>
      <c r="G428" s="53">
        <f>416+161</f>
        <v>577</v>
      </c>
      <c r="H428" s="53">
        <f>398+195</f>
        <v>593</v>
      </c>
      <c r="I428" s="53">
        <f>644+279</f>
        <v>923</v>
      </c>
      <c r="J428" s="53">
        <f>440+221</f>
        <v>661</v>
      </c>
      <c r="K428" s="14" t="s">
        <v>242</v>
      </c>
      <c r="L428" s="14" t="s">
        <v>242</v>
      </c>
      <c r="M428" s="14" t="s">
        <v>242</v>
      </c>
      <c r="N428" s="14" t="s">
        <v>242</v>
      </c>
      <c r="O428" s="14" t="s">
        <v>242</v>
      </c>
      <c r="P428" s="14" t="s">
        <v>242</v>
      </c>
      <c r="Q428" s="14" t="s">
        <v>242</v>
      </c>
      <c r="R428" s="9">
        <v>851</v>
      </c>
      <c r="S428" s="9">
        <v>789</v>
      </c>
      <c r="T428" s="9">
        <v>804</v>
      </c>
      <c r="U428" s="9">
        <v>759</v>
      </c>
      <c r="V428" s="9">
        <v>855</v>
      </c>
      <c r="AF428" s="9"/>
      <c r="AG428" s="9"/>
    </row>
    <row r="429" spans="1:33" ht="12.75">
      <c r="A429" s="18" t="s">
        <v>286</v>
      </c>
      <c r="B429" s="14" t="s">
        <v>242</v>
      </c>
      <c r="C429" s="53"/>
      <c r="D429" s="53">
        <f>1164+433</f>
        <v>1597</v>
      </c>
      <c r="E429" s="53">
        <f>944+380</f>
        <v>1324</v>
      </c>
      <c r="F429" s="53">
        <f>960+383</f>
        <v>1343</v>
      </c>
      <c r="G429" s="53">
        <f>993+322</f>
        <v>1315</v>
      </c>
      <c r="H429" s="53">
        <f>953+308</f>
        <v>1261</v>
      </c>
      <c r="I429" s="53">
        <f>1103+384</f>
        <v>1487</v>
      </c>
      <c r="J429" s="53">
        <f>1080+396</f>
        <v>1476</v>
      </c>
      <c r="K429" s="14" t="s">
        <v>242</v>
      </c>
      <c r="L429" s="14" t="s">
        <v>242</v>
      </c>
      <c r="M429" s="14" t="s">
        <v>242</v>
      </c>
      <c r="N429" s="14" t="s">
        <v>242</v>
      </c>
      <c r="O429" s="14" t="s">
        <v>242</v>
      </c>
      <c r="P429" s="14" t="s">
        <v>242</v>
      </c>
      <c r="Q429" s="14" t="s">
        <v>242</v>
      </c>
      <c r="R429" s="9">
        <v>1903</v>
      </c>
      <c r="S429" s="9">
        <v>1745</v>
      </c>
      <c r="T429" s="9">
        <v>1904</v>
      </c>
      <c r="U429" s="9">
        <v>2040</v>
      </c>
      <c r="V429" s="9">
        <v>2426</v>
      </c>
      <c r="AF429" s="9"/>
      <c r="AG429" s="9"/>
    </row>
    <row r="430" spans="1:33" ht="12.75">
      <c r="A430" s="18" t="s">
        <v>287</v>
      </c>
      <c r="B430" s="14" t="s">
        <v>242</v>
      </c>
      <c r="C430" s="53">
        <f>1541+588</f>
        <v>2129</v>
      </c>
      <c r="D430" s="53">
        <f>3648+1451</f>
        <v>5099</v>
      </c>
      <c r="E430" s="53">
        <f>3993+1641</f>
        <v>5634</v>
      </c>
      <c r="F430" s="53">
        <f>4255+1743</f>
        <v>5998</v>
      </c>
      <c r="G430" s="53">
        <f>4442+1656</f>
        <v>6098</v>
      </c>
      <c r="H430" s="53">
        <f>4578+1738</f>
        <v>6316</v>
      </c>
      <c r="I430" s="53">
        <f>4741+1720</f>
        <v>6461</v>
      </c>
      <c r="J430" s="53">
        <f>4828+1944</f>
        <v>6772</v>
      </c>
      <c r="K430" s="14" t="s">
        <v>242</v>
      </c>
      <c r="L430" s="14" t="s">
        <v>242</v>
      </c>
      <c r="M430" s="14" t="s">
        <v>242</v>
      </c>
      <c r="N430" s="14" t="s">
        <v>242</v>
      </c>
      <c r="O430" s="14" t="s">
        <v>242</v>
      </c>
      <c r="P430" s="14" t="s">
        <v>242</v>
      </c>
      <c r="Q430" s="14" t="s">
        <v>242</v>
      </c>
      <c r="R430" s="9">
        <v>5907</v>
      </c>
      <c r="S430" s="9">
        <v>5848</v>
      </c>
      <c r="T430" s="9">
        <v>5834</v>
      </c>
      <c r="U430" s="9">
        <v>5702</v>
      </c>
      <c r="V430" s="9">
        <v>6270</v>
      </c>
      <c r="AF430" s="9"/>
      <c r="AG430" s="9"/>
    </row>
    <row r="431" spans="1:33" ht="12.75">
      <c r="A431" s="18" t="s">
        <v>99</v>
      </c>
      <c r="B431" s="14" t="s">
        <v>242</v>
      </c>
      <c r="C431" s="53">
        <f>435+233</f>
        <v>668</v>
      </c>
      <c r="D431" s="53">
        <f>264+124</f>
        <v>388</v>
      </c>
      <c r="E431" s="53">
        <f>443+168</f>
        <v>611</v>
      </c>
      <c r="F431" s="53">
        <f>250+116</f>
        <v>366</v>
      </c>
      <c r="G431" s="53">
        <f>303+166</f>
        <v>469</v>
      </c>
      <c r="H431" s="53">
        <f>342+145</f>
        <v>487</v>
      </c>
      <c r="I431" s="53"/>
      <c r="J431" s="53"/>
      <c r="K431" s="14" t="s">
        <v>242</v>
      </c>
      <c r="L431" s="14" t="s">
        <v>242</v>
      </c>
      <c r="M431" s="14" t="s">
        <v>242</v>
      </c>
      <c r="N431" s="14" t="s">
        <v>242</v>
      </c>
      <c r="O431" s="14" t="s">
        <v>242</v>
      </c>
      <c r="P431" s="14" t="s">
        <v>242</v>
      </c>
      <c r="Q431" s="14" t="s">
        <v>242</v>
      </c>
      <c r="AF431" s="9"/>
      <c r="AG431" s="9"/>
    </row>
    <row r="432" spans="1:33" ht="12.75">
      <c r="A432" s="18" t="s">
        <v>86</v>
      </c>
      <c r="B432" s="14" t="s">
        <v>242</v>
      </c>
      <c r="C432" s="14" t="s">
        <v>242</v>
      </c>
      <c r="D432" s="14" t="s">
        <v>242</v>
      </c>
      <c r="E432" s="14" t="s">
        <v>242</v>
      </c>
      <c r="F432" s="14" t="s">
        <v>242</v>
      </c>
      <c r="G432" s="14" t="s">
        <v>242</v>
      </c>
      <c r="H432" s="14" t="s">
        <v>242</v>
      </c>
      <c r="I432" s="14" t="s">
        <v>242</v>
      </c>
      <c r="J432" s="14" t="s">
        <v>242</v>
      </c>
      <c r="K432" s="14" t="s">
        <v>242</v>
      </c>
      <c r="L432" s="14" t="s">
        <v>242</v>
      </c>
      <c r="M432" s="14" t="s">
        <v>242</v>
      </c>
      <c r="N432" s="14" t="s">
        <v>242</v>
      </c>
      <c r="O432" s="14" t="s">
        <v>242</v>
      </c>
      <c r="P432" s="14" t="s">
        <v>242</v>
      </c>
      <c r="Q432" s="14" t="s">
        <v>242</v>
      </c>
      <c r="R432" s="9">
        <v>21</v>
      </c>
      <c r="S432" s="9">
        <v>21</v>
      </c>
      <c r="T432" s="9">
        <v>21</v>
      </c>
      <c r="U432" s="9">
        <v>21</v>
      </c>
      <c r="V432" s="9">
        <v>22</v>
      </c>
      <c r="AF432" s="9"/>
      <c r="AG432" s="9"/>
    </row>
    <row r="433" spans="1:33" ht="12.75">
      <c r="A433" s="40" t="s">
        <v>148</v>
      </c>
      <c r="C433" s="9">
        <f aca="true" t="shared" si="60" ref="C433:K433">C434-SUM(C423:C431)</f>
        <v>0</v>
      </c>
      <c r="D433" s="9">
        <f t="shared" si="60"/>
        <v>0</v>
      </c>
      <c r="E433" s="9">
        <f t="shared" si="60"/>
        <v>0</v>
      </c>
      <c r="F433" s="9">
        <f t="shared" si="60"/>
        <v>1</v>
      </c>
      <c r="G433" s="9">
        <f t="shared" si="60"/>
        <v>-2</v>
      </c>
      <c r="H433" s="9">
        <f t="shared" si="60"/>
        <v>0</v>
      </c>
      <c r="I433" s="9">
        <f t="shared" si="60"/>
        <v>-2</v>
      </c>
      <c r="J433" s="9">
        <f t="shared" si="60"/>
        <v>-1</v>
      </c>
      <c r="K433" s="9">
        <f t="shared" si="60"/>
        <v>0</v>
      </c>
      <c r="AF433" s="9"/>
      <c r="AG433" s="9"/>
    </row>
    <row r="434" spans="1:33" ht="12.75">
      <c r="A434" s="18" t="s">
        <v>307</v>
      </c>
      <c r="B434" s="14" t="s">
        <v>242</v>
      </c>
      <c r="C434" s="9">
        <f>SUM(C423:C431)</f>
        <v>50638</v>
      </c>
      <c r="D434" s="9">
        <f>SUM(D423:D431)</f>
        <v>49252</v>
      </c>
      <c r="E434" s="9">
        <f>33387+16960</f>
        <v>50347</v>
      </c>
      <c r="F434" s="9">
        <f>34188+17511</f>
        <v>51699</v>
      </c>
      <c r="G434" s="9">
        <f>35469+17888</f>
        <v>53357</v>
      </c>
      <c r="H434" s="9">
        <f>36032+18073</f>
        <v>54105</v>
      </c>
      <c r="I434" s="9">
        <f>36185+17885</f>
        <v>54070</v>
      </c>
      <c r="J434" s="9">
        <f>37175+18924</f>
        <v>56099</v>
      </c>
      <c r="R434" s="9">
        <f>SUM(R423:R431)</f>
        <v>63427</v>
      </c>
      <c r="S434" s="9">
        <f>SUM(S423:S431)</f>
        <v>64445</v>
      </c>
      <c r="T434" s="9">
        <f>SUM(T423:T431)</f>
        <v>65708</v>
      </c>
      <c r="U434" s="9">
        <f>SUM(U423:U431)</f>
        <v>63286</v>
      </c>
      <c r="V434" s="9">
        <f>SUM(V423:V431)</f>
        <v>67378</v>
      </c>
      <c r="AF434" s="9"/>
      <c r="AG434" s="9"/>
    </row>
    <row r="435" spans="32:33" ht="12.75">
      <c r="AF435" s="9"/>
      <c r="AG435" s="9"/>
    </row>
    <row r="436" spans="1:33" ht="12.75">
      <c r="A436" s="18" t="s">
        <v>289</v>
      </c>
      <c r="C436" s="48"/>
      <c r="D436" s="48"/>
      <c r="E436" s="48"/>
      <c r="F436" s="48"/>
      <c r="G436" s="48"/>
      <c r="H436" s="48"/>
      <c r="I436" s="48"/>
      <c r="J436" s="48" t="s">
        <v>288</v>
      </c>
      <c r="AF436" s="9"/>
      <c r="AG436" s="9"/>
    </row>
    <row r="437" spans="1:33" ht="12.75">
      <c r="A437" s="18" t="s">
        <v>290</v>
      </c>
      <c r="B437" s="14" t="s">
        <v>242</v>
      </c>
      <c r="C437" s="53">
        <f>4031+2731</f>
        <v>6762</v>
      </c>
      <c r="D437" s="53">
        <f>2374+2111</f>
        <v>4485</v>
      </c>
      <c r="E437" s="53">
        <f>2171+1978</f>
        <v>4149</v>
      </c>
      <c r="F437" s="53">
        <f>2261+2061</f>
        <v>4322</v>
      </c>
      <c r="G437" s="53">
        <f>2378+2053</f>
        <v>4431</v>
      </c>
      <c r="H437" s="53">
        <f>2284+2092</f>
        <v>4376</v>
      </c>
      <c r="I437" s="53">
        <f>2270+1996</f>
        <v>4266</v>
      </c>
      <c r="J437" s="53">
        <f>2435+2089</f>
        <v>4524</v>
      </c>
      <c r="K437" s="14" t="s">
        <v>242</v>
      </c>
      <c r="L437" s="14" t="s">
        <v>242</v>
      </c>
      <c r="M437" s="14" t="s">
        <v>242</v>
      </c>
      <c r="N437" s="14" t="s">
        <v>242</v>
      </c>
      <c r="O437" s="14" t="s">
        <v>242</v>
      </c>
      <c r="P437" s="14" t="s">
        <v>242</v>
      </c>
      <c r="Q437" s="14" t="s">
        <v>242</v>
      </c>
      <c r="R437" s="9">
        <v>2781</v>
      </c>
      <c r="S437" s="9">
        <v>2666</v>
      </c>
      <c r="T437" s="9">
        <v>2848</v>
      </c>
      <c r="U437" s="9">
        <v>2530</v>
      </c>
      <c r="V437" s="9">
        <v>2552</v>
      </c>
      <c r="AF437" s="9"/>
      <c r="AG437" s="9"/>
    </row>
    <row r="438" spans="1:33" ht="12.75">
      <c r="A438" s="18" t="s">
        <v>291</v>
      </c>
      <c r="B438" s="14" t="s">
        <v>242</v>
      </c>
      <c r="C438" s="53">
        <f>7087+4604</f>
        <v>11691</v>
      </c>
      <c r="D438" s="53">
        <f>8063+5214</f>
        <v>13277</v>
      </c>
      <c r="E438" s="53">
        <f>8047+5227</f>
        <v>13274</v>
      </c>
      <c r="F438" s="53">
        <f>5479+8316</f>
        <v>13795</v>
      </c>
      <c r="G438" s="53">
        <f>7256+4682</f>
        <v>11938</v>
      </c>
      <c r="H438" s="53">
        <f>7434+4789</f>
        <v>12223</v>
      </c>
      <c r="I438" s="53">
        <f>7236+4697</f>
        <v>11933</v>
      </c>
      <c r="J438" s="53">
        <f>7385+4869</f>
        <v>12254</v>
      </c>
      <c r="K438" s="14" t="s">
        <v>242</v>
      </c>
      <c r="L438" s="14" t="s">
        <v>242</v>
      </c>
      <c r="M438" s="14" t="s">
        <v>242</v>
      </c>
      <c r="N438" s="14" t="s">
        <v>242</v>
      </c>
      <c r="O438" s="14" t="s">
        <v>242</v>
      </c>
      <c r="P438" s="14" t="s">
        <v>242</v>
      </c>
      <c r="Q438" s="14" t="s">
        <v>242</v>
      </c>
      <c r="R438" s="9">
        <v>12955</v>
      </c>
      <c r="S438" s="9">
        <v>12849</v>
      </c>
      <c r="T438" s="9">
        <v>12576</v>
      </c>
      <c r="U438" s="9">
        <v>11899</v>
      </c>
      <c r="V438" s="9">
        <v>12060</v>
      </c>
      <c r="AF438" s="9"/>
      <c r="AG438" s="9"/>
    </row>
    <row r="439" spans="1:33" ht="12.75">
      <c r="A439" s="18" t="s">
        <v>292</v>
      </c>
      <c r="B439" s="14" t="s">
        <v>242</v>
      </c>
      <c r="C439" s="53">
        <f>6775+3630</f>
        <v>10405</v>
      </c>
      <c r="D439" s="53">
        <f>5768+2901</f>
        <v>8669</v>
      </c>
      <c r="E439" s="53">
        <f>5770+2978</f>
        <v>8748</v>
      </c>
      <c r="F439" s="53">
        <f>5827+2969</f>
        <v>8796</v>
      </c>
      <c r="G439" s="53">
        <f>6784+3573</f>
        <v>10357</v>
      </c>
      <c r="H439" s="53">
        <f>6848+3666</f>
        <v>10514</v>
      </c>
      <c r="I439" s="53">
        <f>6879+3694</f>
        <v>10573</v>
      </c>
      <c r="J439" s="53">
        <f>7187+3787</f>
        <v>10974</v>
      </c>
      <c r="K439" s="14" t="s">
        <v>242</v>
      </c>
      <c r="L439" s="14" t="s">
        <v>242</v>
      </c>
      <c r="M439" s="14" t="s">
        <v>242</v>
      </c>
      <c r="N439" s="14" t="s">
        <v>242</v>
      </c>
      <c r="O439" s="14" t="s">
        <v>242</v>
      </c>
      <c r="P439" s="14" t="s">
        <v>242</v>
      </c>
      <c r="Q439" s="14" t="s">
        <v>242</v>
      </c>
      <c r="R439" s="9">
        <v>12391</v>
      </c>
      <c r="S439" s="9">
        <v>12594</v>
      </c>
      <c r="T439" s="9">
        <v>12763</v>
      </c>
      <c r="U439" s="9">
        <v>12271</v>
      </c>
      <c r="V439" s="9">
        <v>12971</v>
      </c>
      <c r="AF439" s="9"/>
      <c r="AG439" s="9"/>
    </row>
    <row r="440" spans="1:33" ht="12.75">
      <c r="A440" s="18" t="s">
        <v>293</v>
      </c>
      <c r="B440" s="14" t="s">
        <v>242</v>
      </c>
      <c r="C440" s="53">
        <f>10745+4552</f>
        <v>15297</v>
      </c>
      <c r="D440" s="53">
        <f>9346+3635</f>
        <v>12981</v>
      </c>
      <c r="E440" s="53">
        <f>9791+3873</f>
        <v>13664</v>
      </c>
      <c r="F440" s="53">
        <f>9960+4035</f>
        <v>13995</v>
      </c>
      <c r="G440" s="53">
        <f>10650+4470</f>
        <v>15120</v>
      </c>
      <c r="H440" s="53">
        <f>10874+4392</f>
        <v>15266</v>
      </c>
      <c r="I440" s="53">
        <f>11164+4586</f>
        <v>15750</v>
      </c>
      <c r="J440" s="53">
        <f>11464+4998</f>
        <v>16462</v>
      </c>
      <c r="K440" s="14" t="s">
        <v>242</v>
      </c>
      <c r="L440" s="14" t="s">
        <v>242</v>
      </c>
      <c r="M440" s="14" t="s">
        <v>242</v>
      </c>
      <c r="N440" s="14" t="s">
        <v>242</v>
      </c>
      <c r="O440" s="14" t="s">
        <v>242</v>
      </c>
      <c r="P440" s="14" t="s">
        <v>242</v>
      </c>
      <c r="Q440" s="14" t="s">
        <v>242</v>
      </c>
      <c r="R440" s="9">
        <v>22083</v>
      </c>
      <c r="S440" s="9">
        <v>22993</v>
      </c>
      <c r="T440" s="9">
        <v>23547</v>
      </c>
      <c r="U440" s="9">
        <v>22732</v>
      </c>
      <c r="V440" s="9">
        <f>16657+7854</f>
        <v>24511</v>
      </c>
      <c r="AF440" s="9"/>
      <c r="AG440" s="9"/>
    </row>
    <row r="441" spans="1:33" ht="12.75">
      <c r="A441" s="18" t="s">
        <v>319</v>
      </c>
      <c r="B441" s="14" t="s">
        <v>242</v>
      </c>
      <c r="C441" s="53">
        <f>1938+645</f>
        <v>2583</v>
      </c>
      <c r="D441" s="53">
        <f>1559+424</f>
        <v>1983</v>
      </c>
      <c r="E441" s="53">
        <f>1619+478</f>
        <v>2097</v>
      </c>
      <c r="F441" s="53">
        <f>481+1682</f>
        <v>2163</v>
      </c>
      <c r="G441" s="53">
        <f>1801+543</f>
        <v>2344</v>
      </c>
      <c r="H441" s="53">
        <f>1897+509</f>
        <v>2406</v>
      </c>
      <c r="I441" s="53">
        <f>1973+570</f>
        <v>2543</v>
      </c>
      <c r="J441" s="53">
        <f>2119+626</f>
        <v>2745</v>
      </c>
      <c r="K441" s="14" t="s">
        <v>242</v>
      </c>
      <c r="L441" s="14" t="s">
        <v>242</v>
      </c>
      <c r="M441" s="14" t="s">
        <v>242</v>
      </c>
      <c r="N441" s="14" t="s">
        <v>242</v>
      </c>
      <c r="O441" s="14" t="s">
        <v>242</v>
      </c>
      <c r="P441" s="14" t="s">
        <v>242</v>
      </c>
      <c r="Q441" s="14" t="s">
        <v>242</v>
      </c>
      <c r="R441" s="9">
        <v>4142</v>
      </c>
      <c r="S441" s="9">
        <v>4488</v>
      </c>
      <c r="T441" s="9">
        <v>4902</v>
      </c>
      <c r="U441" s="9">
        <v>4807</v>
      </c>
      <c r="V441" s="9">
        <f>5144</f>
        <v>5144</v>
      </c>
      <c r="AF441" s="9"/>
      <c r="AG441" s="9"/>
    </row>
    <row r="442" spans="1:33" ht="12.75">
      <c r="A442" s="18" t="s">
        <v>294</v>
      </c>
      <c r="B442" s="14" t="s">
        <v>242</v>
      </c>
      <c r="C442" s="53">
        <f>710+234</f>
        <v>944</v>
      </c>
      <c r="D442" s="53">
        <f>486+130</f>
        <v>616</v>
      </c>
      <c r="E442" s="53">
        <f>542+134</f>
        <v>676</v>
      </c>
      <c r="F442" s="53">
        <f>556+141</f>
        <v>697</v>
      </c>
      <c r="G442" s="53">
        <f>602+130</f>
        <v>732</v>
      </c>
      <c r="H442" s="53">
        <f>547+155</f>
        <v>702</v>
      </c>
      <c r="I442" s="53">
        <f>820+238</f>
        <v>1058</v>
      </c>
      <c r="J442" s="53">
        <f>679+215</f>
        <v>894</v>
      </c>
      <c r="K442" s="14" t="s">
        <v>242</v>
      </c>
      <c r="L442" s="14" t="s">
        <v>242</v>
      </c>
      <c r="M442" s="14" t="s">
        <v>242</v>
      </c>
      <c r="N442" s="14" t="s">
        <v>242</v>
      </c>
      <c r="O442" s="14" t="s">
        <v>242</v>
      </c>
      <c r="P442" s="14" t="s">
        <v>242</v>
      </c>
      <c r="Q442" s="14" t="s">
        <v>242</v>
      </c>
      <c r="R442" s="9">
        <v>1264</v>
      </c>
      <c r="S442" s="9">
        <v>1261</v>
      </c>
      <c r="T442" s="9">
        <v>1335</v>
      </c>
      <c r="U442" s="9">
        <v>1304</v>
      </c>
      <c r="V442" s="9">
        <v>1445</v>
      </c>
      <c r="AF442" s="9"/>
      <c r="AG442" s="9"/>
    </row>
    <row r="443" spans="1:33" ht="12.75">
      <c r="A443" s="18" t="s">
        <v>286</v>
      </c>
      <c r="B443" s="14" t="s">
        <v>242</v>
      </c>
      <c r="C443" s="53"/>
      <c r="D443" s="53">
        <f>1164+433</f>
        <v>1597</v>
      </c>
      <c r="E443" s="53">
        <f>380+944</f>
        <v>1324</v>
      </c>
      <c r="F443" s="53">
        <f>383+960</f>
        <v>1343</v>
      </c>
      <c r="G443" s="53">
        <f>993+322</f>
        <v>1315</v>
      </c>
      <c r="H443" s="53">
        <f>953+308</f>
        <v>1261</v>
      </c>
      <c r="I443" s="53">
        <f>1103+384</f>
        <v>1487</v>
      </c>
      <c r="J443" s="53">
        <f>1080+396</f>
        <v>1476</v>
      </c>
      <c r="K443" s="14" t="s">
        <v>242</v>
      </c>
      <c r="L443" s="14" t="s">
        <v>242</v>
      </c>
      <c r="M443" s="14" t="s">
        <v>242</v>
      </c>
      <c r="N443" s="14" t="s">
        <v>242</v>
      </c>
      <c r="O443" s="14" t="s">
        <v>242</v>
      </c>
      <c r="P443" s="14" t="s">
        <v>242</v>
      </c>
      <c r="Q443" s="14" t="s">
        <v>242</v>
      </c>
      <c r="R443" s="9">
        <v>1903</v>
      </c>
      <c r="S443" s="9">
        <v>1745</v>
      </c>
      <c r="T443" s="9">
        <v>1904</v>
      </c>
      <c r="U443" s="9">
        <v>2040</v>
      </c>
      <c r="V443" s="9">
        <v>2426</v>
      </c>
      <c r="AF443" s="9"/>
      <c r="AG443" s="9"/>
    </row>
    <row r="444" spans="1:33" ht="12.75">
      <c r="A444" s="18" t="s">
        <v>287</v>
      </c>
      <c r="B444" s="14" t="s">
        <v>242</v>
      </c>
      <c r="C444" s="53">
        <f>1541+588</f>
        <v>2129</v>
      </c>
      <c r="D444" s="53">
        <f>3648+1451</f>
        <v>5099</v>
      </c>
      <c r="E444" s="53">
        <f>3993+1641</f>
        <v>5634</v>
      </c>
      <c r="F444" s="53">
        <f>4255+1743</f>
        <v>5998</v>
      </c>
      <c r="G444" s="53">
        <f>4442+1656</f>
        <v>6098</v>
      </c>
      <c r="H444" s="53">
        <f>4578+1738</f>
        <v>6316</v>
      </c>
      <c r="I444" s="53">
        <f>4741+1720</f>
        <v>6461</v>
      </c>
      <c r="J444" s="53">
        <f>4828+1944</f>
        <v>6772</v>
      </c>
      <c r="K444" s="14" t="s">
        <v>242</v>
      </c>
      <c r="L444" s="14" t="s">
        <v>242</v>
      </c>
      <c r="M444" s="14" t="s">
        <v>242</v>
      </c>
      <c r="N444" s="14" t="s">
        <v>242</v>
      </c>
      <c r="O444" s="14" t="s">
        <v>242</v>
      </c>
      <c r="P444" s="14" t="s">
        <v>242</v>
      </c>
      <c r="Q444" s="14" t="s">
        <v>242</v>
      </c>
      <c r="R444" s="9">
        <v>5907</v>
      </c>
      <c r="S444" s="9">
        <v>5848</v>
      </c>
      <c r="T444" s="9">
        <v>5834</v>
      </c>
      <c r="U444" s="9">
        <v>5702</v>
      </c>
      <c r="V444" s="9">
        <v>6270</v>
      </c>
      <c r="AF444" s="9"/>
      <c r="AG444" s="9"/>
    </row>
    <row r="445" spans="1:33" ht="12.75">
      <c r="A445" s="18" t="s">
        <v>99</v>
      </c>
      <c r="B445" s="14" t="s">
        <v>242</v>
      </c>
      <c r="C445" s="53">
        <f>485+343</f>
        <v>828</v>
      </c>
      <c r="D445" s="53">
        <f>346+195</f>
        <v>541</v>
      </c>
      <c r="E445" s="53">
        <f>271+511</f>
        <v>782</v>
      </c>
      <c r="F445" s="53">
        <f>219+370</f>
        <v>589</v>
      </c>
      <c r="G445" s="53">
        <f>565+459</f>
        <v>1024</v>
      </c>
      <c r="H445" s="53">
        <f>617+425</f>
        <v>1042</v>
      </c>
      <c r="I445" s="53"/>
      <c r="J445" s="53"/>
      <c r="K445" s="14" t="s">
        <v>242</v>
      </c>
      <c r="L445" s="14" t="s">
        <v>242</v>
      </c>
      <c r="M445" s="14" t="s">
        <v>242</v>
      </c>
      <c r="N445" s="14" t="s">
        <v>242</v>
      </c>
      <c r="O445" s="14" t="s">
        <v>242</v>
      </c>
      <c r="P445" s="14" t="s">
        <v>242</v>
      </c>
      <c r="Q445" s="14" t="s">
        <v>242</v>
      </c>
      <c r="AF445" s="9"/>
      <c r="AG445" s="9"/>
    </row>
    <row r="446" spans="1:33" ht="12.75">
      <c r="A446" s="18" t="s">
        <v>86</v>
      </c>
      <c r="B446" s="14" t="s">
        <v>242</v>
      </c>
      <c r="C446" s="14" t="s">
        <v>242</v>
      </c>
      <c r="D446" s="14" t="s">
        <v>242</v>
      </c>
      <c r="E446" s="14" t="s">
        <v>242</v>
      </c>
      <c r="F446" s="14" t="s">
        <v>242</v>
      </c>
      <c r="G446" s="14" t="s">
        <v>242</v>
      </c>
      <c r="H446" s="14" t="s">
        <v>242</v>
      </c>
      <c r="I446" s="14" t="s">
        <v>242</v>
      </c>
      <c r="J446" s="14" t="s">
        <v>242</v>
      </c>
      <c r="K446" s="14" t="s">
        <v>242</v>
      </c>
      <c r="L446" s="14" t="s">
        <v>242</v>
      </c>
      <c r="M446" s="14" t="s">
        <v>242</v>
      </c>
      <c r="N446" s="14" t="s">
        <v>242</v>
      </c>
      <c r="O446" s="14" t="s">
        <v>242</v>
      </c>
      <c r="P446" s="14" t="s">
        <v>242</v>
      </c>
      <c r="Q446" s="14" t="s">
        <v>242</v>
      </c>
      <c r="R446" s="9">
        <v>10</v>
      </c>
      <c r="S446" s="9">
        <v>10</v>
      </c>
      <c r="T446" s="9">
        <v>10</v>
      </c>
      <c r="U446" s="9">
        <v>11</v>
      </c>
      <c r="V446" s="9">
        <v>11</v>
      </c>
      <c r="AF446" s="9"/>
      <c r="AG446" s="9"/>
    </row>
    <row r="447" spans="1:33" ht="12.75">
      <c r="A447" s="40" t="s">
        <v>148</v>
      </c>
      <c r="C447" s="9">
        <f aca="true" t="shared" si="61" ref="C447:K447">C434-SUM(C437:C445)</f>
        <v>-1</v>
      </c>
      <c r="D447" s="44">
        <f t="shared" si="61"/>
        <v>4</v>
      </c>
      <c r="E447" s="9">
        <f t="shared" si="61"/>
        <v>-1</v>
      </c>
      <c r="F447" s="9">
        <f t="shared" si="61"/>
        <v>1</v>
      </c>
      <c r="G447" s="9">
        <f t="shared" si="61"/>
        <v>-2</v>
      </c>
      <c r="H447" s="9">
        <f t="shared" si="61"/>
        <v>-1</v>
      </c>
      <c r="I447" s="9">
        <f t="shared" si="61"/>
        <v>-1</v>
      </c>
      <c r="J447" s="9">
        <f t="shared" si="61"/>
        <v>-2</v>
      </c>
      <c r="K447" s="9">
        <f t="shared" si="61"/>
        <v>0</v>
      </c>
      <c r="R447" s="9">
        <f>SUM(R423:R430)-SUM(R437:R444)</f>
        <v>1</v>
      </c>
      <c r="S447" s="9">
        <f>SUM(S423:S430)-SUM(S437:S444)</f>
        <v>1</v>
      </c>
      <c r="T447" s="9">
        <f>SUM(T423:T430)-SUM(T437:T444)</f>
        <v>-1</v>
      </c>
      <c r="U447" s="9">
        <f>SUM(U423:U430)-SUM(U437:U444)</f>
        <v>1</v>
      </c>
      <c r="V447" s="9">
        <f>SUM(V423:V430)-SUM(V437:V444)</f>
        <v>-1</v>
      </c>
      <c r="AF447" s="9"/>
      <c r="AG447" s="9"/>
    </row>
    <row r="448" spans="32:33" ht="12.75">
      <c r="AF448" s="9"/>
      <c r="AG448" s="9"/>
    </row>
    <row r="449" spans="1:33" ht="12.75">
      <c r="A449" s="17" t="s">
        <v>115</v>
      </c>
      <c r="AF449" s="9"/>
      <c r="AG449" s="9"/>
    </row>
    <row r="450" spans="32:33" ht="12.75">
      <c r="AF450" s="9"/>
      <c r="AG450" s="9"/>
    </row>
    <row r="451" spans="1:33" ht="12.75">
      <c r="A451" s="18" t="s">
        <v>116</v>
      </c>
      <c r="R451" s="10"/>
      <c r="S451" s="10"/>
      <c r="T451" s="10"/>
      <c r="U451" s="10"/>
      <c r="V451" s="10"/>
      <c r="AF451" s="9"/>
      <c r="AG451" s="9"/>
    </row>
    <row r="452" spans="1:33" ht="12.75">
      <c r="A452" s="18" t="s">
        <v>117</v>
      </c>
      <c r="B452" s="9">
        <f>6193+7716</f>
        <v>13909</v>
      </c>
      <c r="C452" s="9">
        <f>5875+7934</f>
        <v>13809</v>
      </c>
      <c r="D452" s="9">
        <v>14363</v>
      </c>
      <c r="E452" s="9">
        <f>6278+8560</f>
        <v>14838</v>
      </c>
      <c r="F452" s="9">
        <f>6677+9119</f>
        <v>15796</v>
      </c>
      <c r="G452" s="9">
        <f>7575+9583</f>
        <v>17158</v>
      </c>
      <c r="H452" s="9">
        <f>7987+9748</f>
        <v>17735</v>
      </c>
      <c r="I452" s="9">
        <f>7954+9784</f>
        <v>17738</v>
      </c>
      <c r="J452" s="9">
        <f>8515+10149</f>
        <v>18664</v>
      </c>
      <c r="K452" s="9">
        <f>8829+10157</f>
        <v>18986</v>
      </c>
      <c r="L452" s="9">
        <v>20987</v>
      </c>
      <c r="M452" s="9">
        <v>21950</v>
      </c>
      <c r="N452" s="9">
        <v>22356</v>
      </c>
      <c r="O452" s="9">
        <v>22393</v>
      </c>
      <c r="P452" s="9">
        <v>22989</v>
      </c>
      <c r="Q452" s="9">
        <v>24070</v>
      </c>
      <c r="R452" s="9">
        <v>25263</v>
      </c>
      <c r="S452" s="9">
        <v>26901</v>
      </c>
      <c r="T452" s="9">
        <v>28149</v>
      </c>
      <c r="U452" s="9">
        <v>28171</v>
      </c>
      <c r="V452" s="9">
        <v>29181</v>
      </c>
      <c r="AF452" s="9"/>
      <c r="AG452" s="9"/>
    </row>
    <row r="453" spans="1:33" ht="12.75">
      <c r="A453" s="18" t="s">
        <v>118</v>
      </c>
      <c r="B453" s="9">
        <f>13622+7413</f>
        <v>21035</v>
      </c>
      <c r="C453" s="9">
        <f>14137+7542</f>
        <v>21679</v>
      </c>
      <c r="D453" s="9">
        <v>22500</v>
      </c>
      <c r="E453" s="9">
        <f>15098+7929</f>
        <v>23027</v>
      </c>
      <c r="F453" s="9">
        <f>15471+7772</f>
        <v>23243</v>
      </c>
      <c r="G453" s="9">
        <f>16043+7786</f>
        <v>23829</v>
      </c>
      <c r="H453" s="9">
        <f>16419+7938</f>
        <v>24357</v>
      </c>
      <c r="I453" s="9">
        <f>17033+8005</f>
        <v>25038</v>
      </c>
      <c r="J453" s="9">
        <f>17783+8329</f>
        <v>26112</v>
      </c>
      <c r="K453" s="9">
        <f>18031+8643</f>
        <v>26674</v>
      </c>
      <c r="L453" s="9">
        <v>28238</v>
      </c>
      <c r="M453" s="9">
        <v>29109</v>
      </c>
      <c r="N453" s="9">
        <v>30108</v>
      </c>
      <c r="O453" s="9">
        <v>30589</v>
      </c>
      <c r="P453" s="9">
        <v>31304</v>
      </c>
      <c r="Q453" s="9">
        <v>31931</v>
      </c>
      <c r="R453" s="9">
        <v>32473</v>
      </c>
      <c r="S453" s="9">
        <v>33817</v>
      </c>
      <c r="T453" s="9">
        <v>34653</v>
      </c>
      <c r="U453" s="9">
        <v>34424</v>
      </c>
      <c r="V453" s="9">
        <v>35569</v>
      </c>
      <c r="AF453" s="9"/>
      <c r="AG453" s="9"/>
    </row>
    <row r="454" spans="1:33" ht="12.75">
      <c r="A454" s="18" t="s">
        <v>119</v>
      </c>
      <c r="B454" s="9">
        <f>7906+3994</f>
        <v>11900</v>
      </c>
      <c r="C454" s="9">
        <f>8173+4060</f>
        <v>12233</v>
      </c>
      <c r="D454" s="9">
        <v>12583</v>
      </c>
      <c r="E454" s="9">
        <f>8677+4036</f>
        <v>12713</v>
      </c>
      <c r="F454" s="9">
        <f>8736+4218</f>
        <v>12954</v>
      </c>
      <c r="G454" s="9">
        <f>8979+4303</f>
        <v>13282</v>
      </c>
      <c r="H454" s="9">
        <f>9322+4307</f>
        <v>13629</v>
      </c>
      <c r="I454" s="9">
        <f>9509+4307</f>
        <v>13816</v>
      </c>
      <c r="J454" s="9">
        <f>9856+4605</f>
        <v>14461</v>
      </c>
      <c r="K454" s="9">
        <f>10188+4844</f>
        <v>15032</v>
      </c>
      <c r="L454" s="9">
        <v>15445</v>
      </c>
      <c r="M454" s="9">
        <v>16054</v>
      </c>
      <c r="N454" s="9">
        <v>16229</v>
      </c>
      <c r="O454" s="9">
        <v>16290</v>
      </c>
      <c r="P454" s="9">
        <v>16306</v>
      </c>
      <c r="Q454" s="9">
        <v>16623</v>
      </c>
      <c r="R454" s="9">
        <v>16507</v>
      </c>
      <c r="S454" s="9">
        <v>16643</v>
      </c>
      <c r="T454" s="9">
        <v>17178</v>
      </c>
      <c r="U454" s="9">
        <v>17326</v>
      </c>
      <c r="V454" s="9">
        <v>17314</v>
      </c>
      <c r="AF454" s="9"/>
      <c r="AG454" s="9"/>
    </row>
    <row r="455" spans="1:33" ht="12.75">
      <c r="A455" s="18" t="s">
        <v>120</v>
      </c>
      <c r="B455" s="9">
        <f>7714+2719</f>
        <v>10433</v>
      </c>
      <c r="C455" s="9">
        <f>8269+2725</f>
        <v>10994</v>
      </c>
      <c r="D455" s="9">
        <v>11261</v>
      </c>
      <c r="E455" s="9">
        <f>8786+2846</f>
        <v>11632</v>
      </c>
      <c r="F455" s="9">
        <f>9115+2822</f>
        <v>11937</v>
      </c>
      <c r="G455" s="9">
        <f>9298+2818</f>
        <v>12116</v>
      </c>
      <c r="H455" s="9">
        <f>9504+2758</f>
        <v>12262</v>
      </c>
      <c r="I455" s="9">
        <f>9889+2952</f>
        <v>12841</v>
      </c>
      <c r="J455" s="9">
        <f>10294+3124</f>
        <v>13418</v>
      </c>
      <c r="K455" s="9">
        <f>10220+3554</f>
        <v>13774</v>
      </c>
      <c r="L455" s="9">
        <v>13956</v>
      </c>
      <c r="M455" s="9">
        <v>14177</v>
      </c>
      <c r="N455" s="9">
        <v>14606</v>
      </c>
      <c r="O455" s="9">
        <v>14140</v>
      </c>
      <c r="P455" s="9">
        <v>14396</v>
      </c>
      <c r="Q455" s="9">
        <v>14907</v>
      </c>
      <c r="R455" s="9">
        <v>14889</v>
      </c>
      <c r="S455" s="9">
        <v>15210</v>
      </c>
      <c r="T455" s="9">
        <v>15619</v>
      </c>
      <c r="U455" s="9">
        <v>15319</v>
      </c>
      <c r="V455" s="9">
        <v>15828</v>
      </c>
      <c r="AF455" s="9"/>
      <c r="AG455" s="9"/>
    </row>
    <row r="456" spans="1:33" ht="12.75">
      <c r="A456" s="18" t="s">
        <v>121</v>
      </c>
      <c r="B456" s="9">
        <f>4887+1406</f>
        <v>6293</v>
      </c>
      <c r="C456" s="9">
        <f>5006+1361</f>
        <v>6367</v>
      </c>
      <c r="D456" s="9">
        <v>6306</v>
      </c>
      <c r="E456" s="9">
        <f>5075+1443</f>
        <v>6518</v>
      </c>
      <c r="F456" s="9">
        <f>5060+1357</f>
        <v>6417</v>
      </c>
      <c r="G456" s="9">
        <f>4908+1258</f>
        <v>6166</v>
      </c>
      <c r="H456" s="9">
        <f>4910+1314</f>
        <v>6224</v>
      </c>
      <c r="I456" s="9">
        <f>4831+1358</f>
        <v>6189</v>
      </c>
      <c r="J456" s="9">
        <f>4944+1469</f>
        <v>6413</v>
      </c>
      <c r="K456" s="9">
        <f>4663+1553</f>
        <v>6216</v>
      </c>
      <c r="L456" s="9">
        <v>6291</v>
      </c>
      <c r="M456" s="9">
        <v>6260</v>
      </c>
      <c r="N456" s="9">
        <v>6617</v>
      </c>
      <c r="O456" s="9">
        <v>6244</v>
      </c>
      <c r="P456" s="9">
        <v>6272</v>
      </c>
      <c r="Q456" s="9">
        <v>6515</v>
      </c>
      <c r="R456" s="9">
        <v>6487</v>
      </c>
      <c r="S456" s="9">
        <v>6652</v>
      </c>
      <c r="T456" s="9">
        <v>6846</v>
      </c>
      <c r="U456" s="9">
        <v>6846</v>
      </c>
      <c r="V456" s="9">
        <v>7003</v>
      </c>
      <c r="AF456" s="9"/>
      <c r="AG456" s="9"/>
    </row>
    <row r="457" spans="1:33" ht="12.75">
      <c r="A457" s="18" t="s">
        <v>122</v>
      </c>
      <c r="B457" s="9">
        <f>2400+694</f>
        <v>3094</v>
      </c>
      <c r="C457" s="9">
        <f>2410+722</f>
        <v>3132</v>
      </c>
      <c r="D457" s="9">
        <v>3057</v>
      </c>
      <c r="E457" s="9">
        <f>2341+688</f>
        <v>3029</v>
      </c>
      <c r="F457" s="9">
        <f>2220+653</f>
        <v>2873</v>
      </c>
      <c r="G457" s="9">
        <f>2135+570</f>
        <v>2705</v>
      </c>
      <c r="H457" s="9">
        <f>2021+590</f>
        <v>2611</v>
      </c>
      <c r="I457" s="9">
        <f>2073+622</f>
        <v>2695</v>
      </c>
      <c r="J457" s="9">
        <f>1845+613</f>
        <v>2458</v>
      </c>
      <c r="K457" s="9">
        <f>1785+646</f>
        <v>2431</v>
      </c>
      <c r="L457" s="9">
        <v>2185</v>
      </c>
      <c r="M457" s="9">
        <v>2048</v>
      </c>
      <c r="N457" s="9">
        <v>2339</v>
      </c>
      <c r="O457" s="9">
        <v>2107</v>
      </c>
      <c r="P457" s="9">
        <v>2176</v>
      </c>
      <c r="Q457" s="9">
        <v>2370</v>
      </c>
      <c r="R457" s="9">
        <v>2374</v>
      </c>
      <c r="S457" s="9">
        <v>2280</v>
      </c>
      <c r="T457" s="9">
        <v>2367</v>
      </c>
      <c r="U457" s="9">
        <v>2414</v>
      </c>
      <c r="V457" s="9">
        <v>2552</v>
      </c>
      <c r="AF457" s="9"/>
      <c r="AG457" s="9"/>
    </row>
    <row r="458" spans="1:33" ht="12.75">
      <c r="A458" s="18" t="s">
        <v>123</v>
      </c>
      <c r="B458" s="9">
        <f>1931+742</f>
        <v>2673</v>
      </c>
      <c r="C458" s="9">
        <f>1914+702</f>
        <v>2616</v>
      </c>
      <c r="D458" s="9">
        <v>2455</v>
      </c>
      <c r="E458" s="9">
        <f>1649+599</f>
        <v>2248</v>
      </c>
      <c r="F458" s="9">
        <f>1485+574</f>
        <v>2059</v>
      </c>
      <c r="G458" s="9">
        <f>1346+566</f>
        <v>1912</v>
      </c>
      <c r="H458" s="9">
        <f>1249+505</f>
        <v>1754</v>
      </c>
      <c r="I458" s="9">
        <f>1227+528</f>
        <v>1755</v>
      </c>
      <c r="J458" s="9">
        <f>1105+546</f>
        <v>1651</v>
      </c>
      <c r="K458" s="9">
        <f>1008+516</f>
        <v>1524</v>
      </c>
      <c r="L458" s="9">
        <v>1324</v>
      </c>
      <c r="M458" s="9">
        <v>1289</v>
      </c>
      <c r="N458" s="9">
        <v>1429</v>
      </c>
      <c r="O458" s="9">
        <v>1384</v>
      </c>
      <c r="P458" s="9">
        <v>1280</v>
      </c>
      <c r="Q458" s="9">
        <v>1278</v>
      </c>
      <c r="R458" s="9">
        <v>1494</v>
      </c>
      <c r="S458" s="9">
        <v>1300</v>
      </c>
      <c r="T458" s="9">
        <v>1449</v>
      </c>
      <c r="U458" s="9">
        <v>1343</v>
      </c>
      <c r="V458" s="9">
        <v>1425</v>
      </c>
      <c r="AF458" s="9"/>
      <c r="AG458" s="9"/>
    </row>
    <row r="459" spans="1:33" ht="12.75">
      <c r="A459" s="18" t="s">
        <v>86</v>
      </c>
      <c r="L459" s="9">
        <v>2.3</v>
      </c>
      <c r="M459" s="30">
        <v>2.3</v>
      </c>
      <c r="N459" s="30">
        <v>2.3</v>
      </c>
      <c r="O459" s="30">
        <v>2.3</v>
      </c>
      <c r="P459" s="30">
        <v>2.3</v>
      </c>
      <c r="Q459" s="30">
        <v>2.3</v>
      </c>
      <c r="R459" s="32">
        <v>2.3</v>
      </c>
      <c r="S459" s="10"/>
      <c r="T459" s="10"/>
      <c r="U459" s="10"/>
      <c r="V459" s="10"/>
      <c r="AF459" s="9"/>
      <c r="AG459" s="9"/>
    </row>
    <row r="460" spans="1:33" ht="12.75">
      <c r="A460" s="9" t="s">
        <v>148</v>
      </c>
      <c r="B460" s="10">
        <f aca="true" t="shared" si="62" ref="B460:V460">B32-SUM(B452:B458)</f>
        <v>0</v>
      </c>
      <c r="C460" s="10">
        <f t="shared" si="62"/>
        <v>0</v>
      </c>
      <c r="D460" s="10">
        <f t="shared" si="62"/>
        <v>-2</v>
      </c>
      <c r="E460" s="10">
        <f t="shared" si="62"/>
        <v>0</v>
      </c>
      <c r="F460" s="10">
        <f t="shared" si="62"/>
        <v>1</v>
      </c>
      <c r="G460" s="10">
        <f t="shared" si="62"/>
        <v>-1</v>
      </c>
      <c r="H460" s="10">
        <f t="shared" si="62"/>
        <v>0</v>
      </c>
      <c r="I460" s="10">
        <f t="shared" si="62"/>
        <v>0</v>
      </c>
      <c r="J460" s="10">
        <f t="shared" si="62"/>
        <v>-2</v>
      </c>
      <c r="K460" s="10">
        <f t="shared" si="62"/>
        <v>1</v>
      </c>
      <c r="L460" s="10">
        <f t="shared" si="62"/>
        <v>-1</v>
      </c>
      <c r="M460" s="10">
        <f t="shared" si="62"/>
        <v>1</v>
      </c>
      <c r="N460" s="10">
        <f t="shared" si="62"/>
        <v>-1</v>
      </c>
      <c r="O460" s="10">
        <f t="shared" si="62"/>
        <v>0</v>
      </c>
      <c r="P460" s="10">
        <f t="shared" si="62"/>
        <v>1</v>
      </c>
      <c r="Q460" s="10">
        <f t="shared" si="62"/>
        <v>-1</v>
      </c>
      <c r="R460" s="10">
        <f t="shared" si="62"/>
        <v>0</v>
      </c>
      <c r="S460" s="10">
        <f t="shared" si="62"/>
        <v>0</v>
      </c>
      <c r="T460" s="10">
        <f t="shared" si="62"/>
        <v>0</v>
      </c>
      <c r="U460" s="10">
        <f t="shared" si="62"/>
        <v>-1</v>
      </c>
      <c r="V460" s="10">
        <f t="shared" si="62"/>
        <v>-1</v>
      </c>
      <c r="AF460" s="9"/>
      <c r="AG460" s="9"/>
    </row>
    <row r="461" spans="18:33" ht="12.75">
      <c r="R461" s="10"/>
      <c r="S461" s="10"/>
      <c r="T461" s="10"/>
      <c r="U461" s="10"/>
      <c r="V461" s="10"/>
      <c r="AF461" s="9"/>
      <c r="AG461" s="9"/>
    </row>
    <row r="462" spans="1:33" ht="12.75">
      <c r="A462" s="18" t="s">
        <v>124</v>
      </c>
      <c r="R462" s="10"/>
      <c r="S462" s="10"/>
      <c r="T462" s="10"/>
      <c r="U462" s="10"/>
      <c r="V462" s="10"/>
      <c r="AF462" s="9"/>
      <c r="AG462" s="9"/>
    </row>
    <row r="463" spans="1:33" ht="12.75">
      <c r="A463" s="18" t="s">
        <v>126</v>
      </c>
      <c r="B463" s="9">
        <f>6193+7716</f>
        <v>13909</v>
      </c>
      <c r="C463" s="9">
        <f>5875+7934</f>
        <v>13809</v>
      </c>
      <c r="D463" s="9">
        <v>14363</v>
      </c>
      <c r="E463" s="9">
        <f>6278+8560</f>
        <v>14838</v>
      </c>
      <c r="F463" s="9">
        <f>6677+9119</f>
        <v>15796</v>
      </c>
      <c r="G463" s="9">
        <f>7575+9583</f>
        <v>17158</v>
      </c>
      <c r="H463" s="9">
        <f>7987+9748</f>
        <v>17735</v>
      </c>
      <c r="I463" s="9">
        <f>7954+9784</f>
        <v>17738</v>
      </c>
      <c r="J463" s="9">
        <f>8515+10149</f>
        <v>18664</v>
      </c>
      <c r="K463" s="9">
        <f>8829+10157</f>
        <v>18986</v>
      </c>
      <c r="L463" s="9">
        <v>20987</v>
      </c>
      <c r="M463" s="9">
        <v>21950</v>
      </c>
      <c r="N463" s="9">
        <v>22356</v>
      </c>
      <c r="O463" s="9">
        <v>22393</v>
      </c>
      <c r="P463" s="9">
        <v>22989</v>
      </c>
      <c r="Q463" s="9">
        <v>24070</v>
      </c>
      <c r="R463" s="9">
        <v>25263</v>
      </c>
      <c r="S463" s="9">
        <v>26901</v>
      </c>
      <c r="T463" s="9">
        <v>28149</v>
      </c>
      <c r="U463" s="9">
        <v>28171</v>
      </c>
      <c r="V463" s="9">
        <v>29181</v>
      </c>
      <c r="AF463" s="9"/>
      <c r="AG463" s="9"/>
    </row>
    <row r="464" spans="1:33" ht="25.5">
      <c r="A464" s="29" t="s">
        <v>125</v>
      </c>
      <c r="B464" s="9">
        <f>33689+11831</f>
        <v>45520</v>
      </c>
      <c r="C464" s="9">
        <f>34977+11653</f>
        <v>46630</v>
      </c>
      <c r="D464" s="9">
        <v>46944</v>
      </c>
      <c r="E464" s="9">
        <f>36108+11291</f>
        <v>47399</v>
      </c>
      <c r="F464" s="9">
        <f>36274+10748</f>
        <v>47022</v>
      </c>
      <c r="G464" s="9">
        <f>36475+10182</f>
        <v>46657</v>
      </c>
      <c r="H464" s="9">
        <f>37058+10063</f>
        <v>47121</v>
      </c>
      <c r="I464" s="9">
        <f>9818+37509</f>
        <v>47327</v>
      </c>
      <c r="J464" s="9">
        <f>39137+10822</f>
        <v>49959</v>
      </c>
      <c r="K464" s="9">
        <f>39073+11448</f>
        <v>50521</v>
      </c>
      <c r="L464" s="9">
        <v>49972</v>
      </c>
      <c r="M464" s="9">
        <v>50491</v>
      </c>
      <c r="N464" s="9">
        <v>50217</v>
      </c>
      <c r="O464" s="9">
        <v>49745</v>
      </c>
      <c r="P464" s="9">
        <v>49683</v>
      </c>
      <c r="Q464" s="9">
        <v>50757</v>
      </c>
      <c r="R464" s="9">
        <v>52258</v>
      </c>
      <c r="S464" s="9">
        <v>53169</v>
      </c>
      <c r="T464" s="9">
        <v>53710</v>
      </c>
      <c r="U464" s="9">
        <v>53542</v>
      </c>
      <c r="V464" s="9">
        <v>54668</v>
      </c>
      <c r="AF464" s="9"/>
      <c r="AG464" s="9"/>
    </row>
    <row r="465" spans="1:33" ht="12.75">
      <c r="A465" s="18" t="s">
        <v>127</v>
      </c>
      <c r="B465" s="9">
        <f>1633+1399</f>
        <v>3032</v>
      </c>
      <c r="C465" s="9">
        <f>1378+1422</f>
        <v>2800</v>
      </c>
      <c r="D465" s="9">
        <v>3141</v>
      </c>
      <c r="E465" s="9">
        <f>1629+1730</f>
        <v>3359</v>
      </c>
      <c r="F465" s="9">
        <f>1775+1943</f>
        <v>3718</v>
      </c>
      <c r="G465" s="9">
        <f>2001+1878</f>
        <v>3879</v>
      </c>
      <c r="H465" s="9">
        <f>1932+2090</f>
        <v>4022</v>
      </c>
      <c r="I465" s="9">
        <f>2026+2238</f>
        <v>4264</v>
      </c>
      <c r="J465" s="9">
        <f>2418+2257</f>
        <v>4675</v>
      </c>
      <c r="K465" s="9">
        <f>2325+2515</f>
        <v>4840</v>
      </c>
      <c r="L465" s="9">
        <v>5661</v>
      </c>
      <c r="M465" s="9">
        <v>6067</v>
      </c>
      <c r="N465" s="9">
        <v>7542</v>
      </c>
      <c r="O465" s="9">
        <v>7298</v>
      </c>
      <c r="P465" s="9">
        <v>7765</v>
      </c>
      <c r="Q465" s="9">
        <v>7971</v>
      </c>
      <c r="R465" s="9">
        <v>7716</v>
      </c>
      <c r="S465" s="9">
        <v>8035</v>
      </c>
      <c r="T465" s="9">
        <v>8581</v>
      </c>
      <c r="U465" s="9">
        <v>8501</v>
      </c>
      <c r="V465" s="9">
        <v>8897</v>
      </c>
      <c r="AF465" s="9"/>
      <c r="AG465" s="9"/>
    </row>
    <row r="466" spans="1:33" ht="12.75">
      <c r="A466" s="18" t="s">
        <v>128</v>
      </c>
      <c r="B466" s="9">
        <f>3139+3738</f>
        <v>6877</v>
      </c>
      <c r="C466" s="9">
        <f>3554+4036</f>
        <v>7590</v>
      </c>
      <c r="D466" s="9">
        <v>8075</v>
      </c>
      <c r="E466" s="9">
        <f>3889+4520</f>
        <v>8409</v>
      </c>
      <c r="F466" s="9">
        <f>4039+4705</f>
        <v>8744</v>
      </c>
      <c r="G466" s="9">
        <f>4356+5117</f>
        <v>9473</v>
      </c>
      <c r="H466" s="9">
        <f>4435+5259</f>
        <v>9694</v>
      </c>
      <c r="I466" s="9">
        <f>5716+5027</f>
        <v>10743</v>
      </c>
      <c r="J466" s="9">
        <f>4433+5444</f>
        <v>9877</v>
      </c>
      <c r="K466" s="9">
        <f>4497+5794</f>
        <v>10291</v>
      </c>
      <c r="L466" s="9">
        <v>11806</v>
      </c>
      <c r="M466" s="9">
        <v>12379</v>
      </c>
      <c r="N466" s="9">
        <v>13568</v>
      </c>
      <c r="O466" s="9">
        <v>13712</v>
      </c>
      <c r="P466" s="9">
        <v>14287</v>
      </c>
      <c r="Q466" s="9">
        <v>14895</v>
      </c>
      <c r="R466" s="9">
        <v>14250</v>
      </c>
      <c r="S466" s="9">
        <v>14697</v>
      </c>
      <c r="T466" s="9">
        <v>15821</v>
      </c>
      <c r="U466" s="9">
        <v>15629</v>
      </c>
      <c r="V466" s="9">
        <v>16125</v>
      </c>
      <c r="AF466" s="9"/>
      <c r="AG466" s="9"/>
    </row>
    <row r="467" spans="1:33" ht="12.75">
      <c r="A467" s="9" t="s">
        <v>148</v>
      </c>
      <c r="B467" s="10">
        <f aca="true" t="shared" si="63" ref="B467:V467">B32-SUM(B463:B466)</f>
        <v>-1</v>
      </c>
      <c r="C467" s="10">
        <f t="shared" si="63"/>
        <v>1</v>
      </c>
      <c r="D467" s="10">
        <f t="shared" si="63"/>
        <v>0</v>
      </c>
      <c r="E467" s="10">
        <f t="shared" si="63"/>
        <v>0</v>
      </c>
      <c r="F467" s="10">
        <f t="shared" si="63"/>
        <v>0</v>
      </c>
      <c r="G467" s="10">
        <f t="shared" si="63"/>
        <v>0</v>
      </c>
      <c r="H467" s="10">
        <f t="shared" si="63"/>
        <v>0</v>
      </c>
      <c r="I467" s="10">
        <f t="shared" si="63"/>
        <v>0</v>
      </c>
      <c r="J467" s="10">
        <f t="shared" si="63"/>
        <v>0</v>
      </c>
      <c r="K467" s="10">
        <f t="shared" si="63"/>
        <v>0</v>
      </c>
      <c r="L467" s="10">
        <f t="shared" si="63"/>
        <v>-1</v>
      </c>
      <c r="M467" s="10">
        <f t="shared" si="63"/>
        <v>1</v>
      </c>
      <c r="N467" s="10">
        <f t="shared" si="63"/>
        <v>0</v>
      </c>
      <c r="O467" s="10">
        <f t="shared" si="63"/>
        <v>-1</v>
      </c>
      <c r="P467" s="10">
        <f t="shared" si="63"/>
        <v>0</v>
      </c>
      <c r="Q467" s="10">
        <f t="shared" si="63"/>
        <v>0</v>
      </c>
      <c r="R467" s="10">
        <f t="shared" si="63"/>
        <v>0</v>
      </c>
      <c r="S467" s="10">
        <f t="shared" si="63"/>
        <v>1</v>
      </c>
      <c r="T467" s="10">
        <f t="shared" si="63"/>
        <v>0</v>
      </c>
      <c r="U467" s="10">
        <f t="shared" si="63"/>
        <v>-1</v>
      </c>
      <c r="V467" s="10">
        <f t="shared" si="63"/>
        <v>0</v>
      </c>
      <c r="AF467" s="9"/>
      <c r="AG467" s="9"/>
    </row>
    <row r="468" spans="18:33" ht="12.75">
      <c r="R468" s="10"/>
      <c r="S468" s="10"/>
      <c r="T468" s="10"/>
      <c r="U468" s="10"/>
      <c r="V468" s="10"/>
      <c r="AF468" s="9"/>
      <c r="AG468" s="9"/>
    </row>
    <row r="469" spans="1:33" ht="12.75">
      <c r="A469" s="2" t="s">
        <v>62</v>
      </c>
      <c r="R469" s="10"/>
      <c r="S469" s="10"/>
      <c r="T469" s="10"/>
      <c r="U469" s="10"/>
      <c r="V469" s="10"/>
      <c r="AF469" s="9"/>
      <c r="AG469" s="9"/>
    </row>
    <row r="470" spans="1:33" ht="12.75">
      <c r="A470" s="2" t="s">
        <v>63</v>
      </c>
      <c r="B470" s="9">
        <f>20420+9071</f>
        <v>29491</v>
      </c>
      <c r="C470" s="9">
        <f>20878+8949</f>
        <v>29827</v>
      </c>
      <c r="D470" s="9">
        <v>29888</v>
      </c>
      <c r="E470" s="9">
        <f>21207+9072</f>
        <v>30279</v>
      </c>
      <c r="F470" s="9">
        <f>21338+9008</f>
        <v>30346</v>
      </c>
      <c r="G470" s="9">
        <f>21377+8975</f>
        <v>30352</v>
      </c>
      <c r="H470" s="9">
        <f>21500+8976</f>
        <v>30476</v>
      </c>
      <c r="I470" s="9">
        <f>21664+9109</f>
        <v>30773</v>
      </c>
      <c r="J470" s="9">
        <f>21643+9634</f>
        <v>31277</v>
      </c>
      <c r="K470" s="9">
        <f>20913+10360</f>
        <v>31273</v>
      </c>
      <c r="L470" s="9">
        <f>14215+12557+5085+1375+465+267</f>
        <v>33964</v>
      </c>
      <c r="M470" s="9">
        <v>34213</v>
      </c>
      <c r="N470" s="9">
        <v>35704</v>
      </c>
      <c r="O470" s="9">
        <v>34588</v>
      </c>
      <c r="P470" s="9">
        <v>35429</v>
      </c>
      <c r="Q470" s="9">
        <v>37236</v>
      </c>
      <c r="R470" s="9">
        <v>36869</v>
      </c>
      <c r="S470" s="9">
        <v>37272</v>
      </c>
      <c r="T470" s="9">
        <v>38682</v>
      </c>
      <c r="U470" s="9">
        <v>38158</v>
      </c>
      <c r="V470" s="9">
        <v>38493</v>
      </c>
      <c r="AF470" s="9"/>
      <c r="AG470" s="9"/>
    </row>
    <row r="471" spans="1:33" ht="12.75">
      <c r="A471" s="5" t="s">
        <v>33</v>
      </c>
      <c r="B471" s="9">
        <f>24233+15613</f>
        <v>39846</v>
      </c>
      <c r="C471" s="9">
        <f>24906+16097</f>
        <v>41003</v>
      </c>
      <c r="D471" s="9">
        <v>42635</v>
      </c>
      <c r="E471" s="9">
        <f>26697+17029</f>
        <v>43726</v>
      </c>
      <c r="F471" s="9">
        <f>27427+17507</f>
        <v>44934</v>
      </c>
      <c r="G471" s="9">
        <f>28906+17909</f>
        <v>46815</v>
      </c>
      <c r="H471" s="9">
        <f>29911+18185</f>
        <v>48096</v>
      </c>
      <c r="I471" s="9">
        <f>30853+18446</f>
        <v>49299</v>
      </c>
      <c r="J471" s="9">
        <f>32699+19199</f>
        <v>51898</v>
      </c>
      <c r="K471" s="9">
        <f>33811+19554</f>
        <v>53365</v>
      </c>
      <c r="L471" s="9">
        <v>54461</v>
      </c>
      <c r="M471" s="9">
        <v>56675</v>
      </c>
      <c r="N471" s="9">
        <v>57979</v>
      </c>
      <c r="O471" s="9">
        <v>58559</v>
      </c>
      <c r="P471" s="9">
        <v>59295</v>
      </c>
      <c r="Q471" s="9">
        <v>60458</v>
      </c>
      <c r="R471" s="9">
        <v>62618</v>
      </c>
      <c r="S471" s="9">
        <v>65530</v>
      </c>
      <c r="T471" s="9">
        <v>67579</v>
      </c>
      <c r="U471" s="9">
        <v>67684</v>
      </c>
      <c r="V471" s="9">
        <v>70378</v>
      </c>
      <c r="AF471" s="9"/>
      <c r="AG471" s="9"/>
    </row>
    <row r="472" spans="1:33" ht="12.75">
      <c r="A472" s="13" t="s">
        <v>86</v>
      </c>
      <c r="B472" s="30"/>
      <c r="C472" s="30"/>
      <c r="E472" s="30"/>
      <c r="F472" s="30"/>
      <c r="G472" s="30"/>
      <c r="H472" s="30"/>
      <c r="I472" s="30"/>
      <c r="J472" s="30"/>
      <c r="K472" s="30"/>
      <c r="L472" s="30">
        <v>0.5</v>
      </c>
      <c r="M472" s="32">
        <v>0.5</v>
      </c>
      <c r="N472" s="32">
        <v>0.5</v>
      </c>
      <c r="O472" s="32">
        <v>0.5</v>
      </c>
      <c r="P472" s="32">
        <v>0.5</v>
      </c>
      <c r="Q472" s="32">
        <v>0.5</v>
      </c>
      <c r="AF472" s="9"/>
      <c r="AG472" s="9"/>
    </row>
    <row r="473" spans="1:33" ht="12.75">
      <c r="A473" s="9" t="s">
        <v>148</v>
      </c>
      <c r="B473" s="9">
        <f aca="true" t="shared" si="64" ref="B473:V473">B32-SUM(B470:B471)</f>
        <v>0</v>
      </c>
      <c r="C473" s="9">
        <f t="shared" si="64"/>
        <v>0</v>
      </c>
      <c r="D473" s="9">
        <f t="shared" si="64"/>
        <v>0</v>
      </c>
      <c r="E473" s="9">
        <f t="shared" si="64"/>
        <v>0</v>
      </c>
      <c r="F473" s="9">
        <f t="shared" si="64"/>
        <v>0</v>
      </c>
      <c r="G473" s="9">
        <f t="shared" si="64"/>
        <v>0</v>
      </c>
      <c r="H473" s="9">
        <f t="shared" si="64"/>
        <v>0</v>
      </c>
      <c r="I473" s="9">
        <f t="shared" si="64"/>
        <v>0</v>
      </c>
      <c r="J473" s="9">
        <f t="shared" si="64"/>
        <v>0</v>
      </c>
      <c r="K473" s="9">
        <f t="shared" si="64"/>
        <v>0</v>
      </c>
      <c r="L473" s="9">
        <f t="shared" si="64"/>
        <v>0</v>
      </c>
      <c r="M473" s="9">
        <f t="shared" si="64"/>
        <v>0</v>
      </c>
      <c r="N473" s="9">
        <f t="shared" si="64"/>
        <v>0</v>
      </c>
      <c r="O473" s="9">
        <f t="shared" si="64"/>
        <v>0</v>
      </c>
      <c r="P473" s="9">
        <f t="shared" si="64"/>
        <v>0</v>
      </c>
      <c r="Q473" s="9">
        <f t="shared" si="64"/>
        <v>-1</v>
      </c>
      <c r="R473" s="9">
        <f t="shared" si="64"/>
        <v>0</v>
      </c>
      <c r="S473" s="9">
        <f t="shared" si="64"/>
        <v>1</v>
      </c>
      <c r="T473" s="9">
        <f t="shared" si="64"/>
        <v>0</v>
      </c>
      <c r="U473" s="9">
        <f t="shared" si="64"/>
        <v>0</v>
      </c>
      <c r="V473" s="9">
        <f t="shared" si="64"/>
        <v>0</v>
      </c>
      <c r="AF473" s="9"/>
      <c r="AG473" s="9"/>
    </row>
    <row r="474" spans="18:33" ht="12.75">
      <c r="R474" s="10"/>
      <c r="S474" s="10"/>
      <c r="T474" s="10"/>
      <c r="U474" s="10"/>
      <c r="V474" s="10"/>
      <c r="AF474" s="9"/>
      <c r="AG474" s="9"/>
    </row>
    <row r="475" spans="1:33" ht="12.75">
      <c r="A475" s="2" t="s">
        <v>134</v>
      </c>
      <c r="R475" s="10"/>
      <c r="S475" s="10"/>
      <c r="T475" s="10"/>
      <c r="U475" s="10"/>
      <c r="V475" s="10"/>
      <c r="AF475" s="9"/>
      <c r="AG475" s="9"/>
    </row>
    <row r="476" spans="1:33" ht="12.75">
      <c r="A476" s="2" t="s">
        <v>59</v>
      </c>
      <c r="B476" s="9">
        <f>1173+2813+3487+7265+14106+1335+2327+2843+2430+2391+1439+1888+2589+1275+3372+5273</f>
        <v>56006</v>
      </c>
      <c r="C476" s="9">
        <f>1182+2957+3829+7501+14440+1063+2651+2569+2367+2412+1457+1791+2503+1318+3674+5354</f>
        <v>57068</v>
      </c>
      <c r="D476" s="9">
        <v>58143</v>
      </c>
      <c r="E476" s="9">
        <f>1069+3186+4069+7512+14743+1251+2922+2677+2210+2440+1459+1722+2332+1642+4130+5803</f>
        <v>59167</v>
      </c>
      <c r="F476" s="9">
        <f>1064+3078+4323+7754+14505+1385+3086+1239+1700+1946+2357+1478+1643+2205+1846+4321+3324+2991</f>
        <v>60245</v>
      </c>
      <c r="G476" s="9">
        <f>1084+3170+4287+7879+14380+827+662+1656+1690+824+656+430+1520+1836+2192+1398+1636+2043+1640+266+3745+967+2356+925+2028+1293</f>
        <v>61390</v>
      </c>
      <c r="H476" s="9">
        <f>1018+3106+4409+8066+14540+915+666+1723+1676+954+720+445+1567+1702+2166+1461+1628+2019+1730+265+3886+982+2464+889+2080+1284</f>
        <v>62361</v>
      </c>
      <c r="I476" s="9">
        <f>940+3131+4510+8115+14732+938+713+2015+1907+1040+715+483+1530+1620+2137+1477+1520+1982+1815+305+4321+990+2674+924+2067+1194</f>
        <v>63795</v>
      </c>
      <c r="J476" s="9">
        <f>887+3127+4747+8538+15330+1086+771+1752+1673+1122+830+520+1572+1822+2380+1701+1741+2115+1967+330+4046+988+2916+949+2192+1171</f>
        <v>66273</v>
      </c>
      <c r="K476" s="9">
        <f>743+2772+4540+9041+15051+1120+799+1795+1675+1208+800+553+1561+1651+2462+1927+2097+2197+2045+345+4373+1017+2887+963+2125+1116</f>
        <v>66863</v>
      </c>
      <c r="L476" s="9">
        <f>5626+9715+10180+18013+12818+13177</f>
        <v>69529</v>
      </c>
      <c r="M476" s="9">
        <f>5411+9321+10664+19306+13482+12960</f>
        <v>71144</v>
      </c>
      <c r="N476" s="9">
        <f>4234+9661+12268+20364+14442+12613</f>
        <v>73582</v>
      </c>
      <c r="O476" s="9">
        <f>4914+8623+11195+20935+14920+12213</f>
        <v>72800</v>
      </c>
      <c r="P476" s="9">
        <f>4789+8215+10984+21797+16376+12125</f>
        <v>74286</v>
      </c>
      <c r="Q476" s="9">
        <v>76852</v>
      </c>
      <c r="R476" s="9">
        <v>78582</v>
      </c>
      <c r="S476" s="9">
        <v>81381</v>
      </c>
      <c r="T476" s="9">
        <v>84448</v>
      </c>
      <c r="U476" s="9">
        <v>84215</v>
      </c>
      <c r="V476" s="9">
        <v>86675</v>
      </c>
      <c r="AF476" s="9"/>
      <c r="AG476" s="9"/>
    </row>
    <row r="477" spans="1:33" ht="12.75">
      <c r="A477" s="2" t="s">
        <v>60</v>
      </c>
      <c r="L477" s="9">
        <v>11284</v>
      </c>
      <c r="M477" s="9">
        <v>11690</v>
      </c>
      <c r="N477" s="9">
        <v>11781</v>
      </c>
      <c r="O477" s="9">
        <v>11579</v>
      </c>
      <c r="P477" s="9">
        <v>11456</v>
      </c>
      <c r="Q477" s="9">
        <v>11447</v>
      </c>
      <c r="R477" s="9">
        <v>10997</v>
      </c>
      <c r="S477" s="9">
        <v>11041</v>
      </c>
      <c r="T477" s="9">
        <v>10755</v>
      </c>
      <c r="U477" s="9">
        <v>10782</v>
      </c>
      <c r="V477" s="9">
        <v>11082</v>
      </c>
      <c r="AF477" s="9"/>
      <c r="AG477" s="9"/>
    </row>
    <row r="478" spans="1:33" ht="12.75">
      <c r="A478" s="5" t="s">
        <v>61</v>
      </c>
      <c r="L478" s="9">
        <v>7612</v>
      </c>
      <c r="M478" s="9">
        <v>8054</v>
      </c>
      <c r="N478" s="9">
        <v>8319</v>
      </c>
      <c r="O478" s="9">
        <v>8769</v>
      </c>
      <c r="P478" s="9">
        <v>8981</v>
      </c>
      <c r="Q478" s="9">
        <v>9394</v>
      </c>
      <c r="R478" s="9">
        <v>9910</v>
      </c>
      <c r="S478" s="9">
        <v>10382</v>
      </c>
      <c r="T478" s="9">
        <v>11057</v>
      </c>
      <c r="U478" s="9">
        <v>10845</v>
      </c>
      <c r="V478" s="9">
        <v>11115</v>
      </c>
      <c r="AF478" s="9"/>
      <c r="AG478" s="9"/>
    </row>
    <row r="479" spans="1:33" ht="12.75">
      <c r="A479" s="13" t="s">
        <v>144</v>
      </c>
      <c r="B479" s="10">
        <f>4846+298+811+3350+1094+124+366+2443</f>
        <v>13332</v>
      </c>
      <c r="C479" s="10">
        <f>5068+315+902+3306+1124+105+363+2580</f>
        <v>13763</v>
      </c>
      <c r="D479" s="9">
        <v>14382</v>
      </c>
      <c r="E479" s="10">
        <f>5530+378+967+3602+1127+88+391+2757</f>
        <v>14840</v>
      </c>
      <c r="F479" s="10">
        <f>5551+390+952+749+2989+1119+97+384+724+2080</f>
        <v>15035</v>
      </c>
      <c r="G479" s="10">
        <f>5674+390+1010+805+3338+1077+95+405+694+2287</f>
        <v>15775</v>
      </c>
      <c r="H479" s="10">
        <f>5919+351+1037+842+3460+1087+95+391+703+2329</f>
        <v>16214</v>
      </c>
      <c r="I479" s="10">
        <f>2241+683+405+118+1081+3250+937+1104+376+6082</f>
        <v>16277</v>
      </c>
      <c r="J479" s="10">
        <f>6508+400+1008+949+3522+1063+121+411+682+2239</f>
        <v>16903</v>
      </c>
      <c r="K479" s="10">
        <f>1115+124+403+734+2332+6926+406+1027+1063+3645</f>
        <v>17775</v>
      </c>
      <c r="L479" s="10">
        <f aca="true" t="shared" si="65" ref="L479:V479">SUM(L477:L478)</f>
        <v>18896</v>
      </c>
      <c r="M479" s="10">
        <f t="shared" si="65"/>
        <v>19744</v>
      </c>
      <c r="N479" s="10">
        <f t="shared" si="65"/>
        <v>20100</v>
      </c>
      <c r="O479" s="10">
        <f t="shared" si="65"/>
        <v>20348</v>
      </c>
      <c r="P479" s="10">
        <f t="shared" si="65"/>
        <v>20437</v>
      </c>
      <c r="Q479" s="10">
        <f t="shared" si="65"/>
        <v>20841</v>
      </c>
      <c r="R479" s="10">
        <f t="shared" si="65"/>
        <v>20907</v>
      </c>
      <c r="S479" s="10">
        <f t="shared" si="65"/>
        <v>21423</v>
      </c>
      <c r="T479" s="10">
        <f t="shared" si="65"/>
        <v>21812</v>
      </c>
      <c r="U479" s="10">
        <f t="shared" si="65"/>
        <v>21627</v>
      </c>
      <c r="V479" s="10">
        <f t="shared" si="65"/>
        <v>22197</v>
      </c>
      <c r="AF479" s="9"/>
      <c r="AG479" s="9"/>
    </row>
    <row r="480" spans="1:33" ht="12.75">
      <c r="A480" s="18" t="s">
        <v>135</v>
      </c>
      <c r="L480" s="9">
        <v>46</v>
      </c>
      <c r="M480" s="9">
        <v>46</v>
      </c>
      <c r="N480" s="9">
        <v>45</v>
      </c>
      <c r="O480" s="9">
        <v>46</v>
      </c>
      <c r="P480" s="9">
        <v>46</v>
      </c>
      <c r="Q480" s="9">
        <v>46</v>
      </c>
      <c r="R480" s="10">
        <v>46</v>
      </c>
      <c r="S480" s="10">
        <v>47</v>
      </c>
      <c r="T480" s="10">
        <v>47</v>
      </c>
      <c r="U480" s="10">
        <v>48</v>
      </c>
      <c r="V480" s="10">
        <v>48</v>
      </c>
      <c r="AF480" s="9"/>
      <c r="AG480" s="9"/>
    </row>
    <row r="481" spans="1:33" ht="12.75">
      <c r="A481" s="9" t="s">
        <v>148</v>
      </c>
      <c r="B481" s="10">
        <f aca="true" t="shared" si="66" ref="B481:K481">B32-B476-B479</f>
        <v>-1</v>
      </c>
      <c r="C481" s="10">
        <f t="shared" si="66"/>
        <v>-1</v>
      </c>
      <c r="D481" s="10">
        <f t="shared" si="66"/>
        <v>-2</v>
      </c>
      <c r="E481" s="10">
        <f t="shared" si="66"/>
        <v>-2</v>
      </c>
      <c r="F481" s="10">
        <f t="shared" si="66"/>
        <v>0</v>
      </c>
      <c r="G481" s="10">
        <f t="shared" si="66"/>
        <v>2</v>
      </c>
      <c r="H481" s="45">
        <f t="shared" si="66"/>
        <v>-3</v>
      </c>
      <c r="I481" s="10">
        <f t="shared" si="66"/>
        <v>0</v>
      </c>
      <c r="J481" s="10">
        <f t="shared" si="66"/>
        <v>-1</v>
      </c>
      <c r="K481" s="10">
        <f t="shared" si="66"/>
        <v>0</v>
      </c>
      <c r="L481" s="10">
        <f aca="true" t="shared" si="67" ref="L481:V481">L32-SUM(L476:L478)</f>
        <v>0</v>
      </c>
      <c r="M481" s="10">
        <f t="shared" si="67"/>
        <v>0</v>
      </c>
      <c r="N481" s="10">
        <f t="shared" si="67"/>
        <v>1</v>
      </c>
      <c r="O481" s="10">
        <f t="shared" si="67"/>
        <v>-1</v>
      </c>
      <c r="P481" s="10">
        <f t="shared" si="67"/>
        <v>1</v>
      </c>
      <c r="Q481" s="10">
        <f t="shared" si="67"/>
        <v>0</v>
      </c>
      <c r="R481" s="10">
        <f t="shared" si="67"/>
        <v>-2</v>
      </c>
      <c r="S481" s="10">
        <f t="shared" si="67"/>
        <v>-1</v>
      </c>
      <c r="T481" s="10">
        <f t="shared" si="67"/>
        <v>1</v>
      </c>
      <c r="U481" s="10">
        <f t="shared" si="67"/>
        <v>0</v>
      </c>
      <c r="V481" s="10">
        <f t="shared" si="67"/>
        <v>-1</v>
      </c>
      <c r="AF481" s="9"/>
      <c r="AG481" s="9"/>
    </row>
    <row r="482" spans="1:33" ht="12.75">
      <c r="A482" s="5"/>
      <c r="R482" s="10"/>
      <c r="S482" s="10"/>
      <c r="T482" s="10"/>
      <c r="U482" s="10"/>
      <c r="V482" s="10"/>
      <c r="AF482" s="9"/>
      <c r="AG482" s="9"/>
    </row>
    <row r="483" spans="1:33" ht="12.75">
      <c r="A483" s="2" t="s">
        <v>64</v>
      </c>
      <c r="R483" s="10"/>
      <c r="S483" s="10"/>
      <c r="T483" s="10"/>
      <c r="U483" s="10"/>
      <c r="V483" s="10"/>
      <c r="AF483" s="9"/>
      <c r="AG483" s="9"/>
    </row>
    <row r="484" spans="1:33" ht="12.75">
      <c r="A484" s="2" t="s">
        <v>65</v>
      </c>
      <c r="B484" s="9">
        <f>41239+20224</f>
        <v>61463</v>
      </c>
      <c r="C484" s="9">
        <f>42156+20406</f>
        <v>62562</v>
      </c>
      <c r="D484" s="9">
        <v>63860</v>
      </c>
      <c r="E484" s="9">
        <f>44024+21090</f>
        <v>65114</v>
      </c>
      <c r="F484" s="9">
        <f>44762+21349</f>
        <v>66111</v>
      </c>
      <c r="G484" s="9">
        <f>46076+21588</f>
        <v>67664</v>
      </c>
      <c r="H484" s="9">
        <f>47055+21731</f>
        <v>68786</v>
      </c>
      <c r="I484" s="9">
        <f>48028+21894</f>
        <v>69922</v>
      </c>
      <c r="J484" s="9">
        <f>49629+22762</f>
        <v>72391</v>
      </c>
      <c r="K484" s="9">
        <f>49144+23418</f>
        <v>72562</v>
      </c>
      <c r="L484" s="9">
        <v>76266</v>
      </c>
      <c r="M484" s="9">
        <v>78179</v>
      </c>
      <c r="N484" s="9">
        <v>80312</v>
      </c>
      <c r="O484" s="9">
        <v>79140</v>
      </c>
      <c r="P484" s="9">
        <v>80029</v>
      </c>
      <c r="Q484" s="9">
        <v>81611</v>
      </c>
      <c r="R484" s="9">
        <v>82154</v>
      </c>
      <c r="S484" s="9">
        <v>83624</v>
      </c>
      <c r="T484" s="9">
        <v>85292</v>
      </c>
      <c r="U484" s="9">
        <v>87483</v>
      </c>
      <c r="V484" s="9">
        <v>89449</v>
      </c>
      <c r="AF484" s="9"/>
      <c r="AG484" s="9"/>
    </row>
    <row r="485" spans="1:33" ht="12.75">
      <c r="A485" s="2" t="s">
        <v>66</v>
      </c>
      <c r="L485" s="9">
        <v>4523</v>
      </c>
      <c r="M485" s="9">
        <v>5032</v>
      </c>
      <c r="N485" s="9">
        <v>5619</v>
      </c>
      <c r="O485" s="9">
        <v>5515</v>
      </c>
      <c r="P485" s="9">
        <v>5749</v>
      </c>
      <c r="Q485" s="9">
        <v>6454</v>
      </c>
      <c r="R485" s="9">
        <v>6762</v>
      </c>
      <c r="S485" s="9">
        <v>6733</v>
      </c>
      <c r="T485" s="9">
        <v>6508</v>
      </c>
      <c r="U485" s="9">
        <v>10125</v>
      </c>
      <c r="V485" s="9">
        <v>10747</v>
      </c>
      <c r="AF485" s="9"/>
      <c r="AG485" s="9"/>
    </row>
    <row r="486" spans="1:33" ht="12.75">
      <c r="A486" s="2" t="s">
        <v>67</v>
      </c>
      <c r="L486" s="9">
        <v>71743</v>
      </c>
      <c r="M486" s="9">
        <v>73147</v>
      </c>
      <c r="N486" s="9">
        <v>74693</v>
      </c>
      <c r="O486" s="9">
        <v>73625</v>
      </c>
      <c r="P486" s="9">
        <v>74280</v>
      </c>
      <c r="Q486" s="9">
        <v>75157</v>
      </c>
      <c r="R486" s="9">
        <v>75392</v>
      </c>
      <c r="S486" s="9">
        <v>76891</v>
      </c>
      <c r="T486" s="9">
        <v>78784</v>
      </c>
      <c r="U486" s="9">
        <v>77358</v>
      </c>
      <c r="V486" s="9">
        <v>78702</v>
      </c>
      <c r="AF486" s="9"/>
      <c r="AG486" s="9"/>
    </row>
    <row r="487" spans="1:33" ht="12.75">
      <c r="A487" s="2" t="s">
        <v>68</v>
      </c>
      <c r="B487" s="9">
        <f>3024+3938</f>
        <v>6962</v>
      </c>
      <c r="C487" s="9">
        <f>3192+4083</f>
        <v>7275</v>
      </c>
      <c r="D487" s="9">
        <v>7561</v>
      </c>
      <c r="E487" s="9">
        <f>3371+4340</f>
        <v>7711</v>
      </c>
      <c r="F487" s="9">
        <f>3470+4486</f>
        <v>7956</v>
      </c>
      <c r="G487" s="9">
        <f>3583+4597</f>
        <v>8180</v>
      </c>
      <c r="H487" s="9">
        <f>3711+4643</f>
        <v>8354</v>
      </c>
      <c r="I487" s="9">
        <f>3776+4827</f>
        <v>8603</v>
      </c>
      <c r="J487" s="9">
        <f>3911+5099</f>
        <v>9010</v>
      </c>
      <c r="K487" s="9">
        <f>4123+5040</f>
        <v>9163</v>
      </c>
      <c r="L487" s="9">
        <v>9903</v>
      </c>
      <c r="M487" s="9">
        <v>10251</v>
      </c>
      <c r="N487" s="9">
        <v>10633</v>
      </c>
      <c r="O487" s="9">
        <v>10832</v>
      </c>
      <c r="P487" s="9">
        <v>11128</v>
      </c>
      <c r="Q487" s="9">
        <v>11773</v>
      </c>
      <c r="R487" s="9">
        <v>12085</v>
      </c>
      <c r="S487" s="9">
        <v>12936</v>
      </c>
      <c r="T487" s="9">
        <v>13292</v>
      </c>
      <c r="U487" s="9">
        <v>13004</v>
      </c>
      <c r="V487" s="9">
        <v>13447</v>
      </c>
      <c r="AF487" s="9"/>
      <c r="AG487" s="9"/>
    </row>
    <row r="488" spans="1:33" ht="12.75">
      <c r="A488" s="2" t="s">
        <v>66</v>
      </c>
      <c r="M488" s="14"/>
      <c r="N488" s="14"/>
      <c r="O488" s="14"/>
      <c r="P488" s="14"/>
      <c r="Q488" s="14" t="s">
        <v>242</v>
      </c>
      <c r="R488" s="14" t="s">
        <v>242</v>
      </c>
      <c r="S488" s="14" t="s">
        <v>242</v>
      </c>
      <c r="T488" s="14" t="s">
        <v>242</v>
      </c>
      <c r="U488" s="9">
        <v>456</v>
      </c>
      <c r="V488" s="9">
        <v>402</v>
      </c>
      <c r="AF488" s="9"/>
      <c r="AG488" s="9"/>
    </row>
    <row r="489" spans="1:33" ht="12.75">
      <c r="A489" s="2" t="s">
        <v>67</v>
      </c>
      <c r="M489" s="14"/>
      <c r="N489" s="14"/>
      <c r="O489" s="14"/>
      <c r="P489" s="14"/>
      <c r="Q489" s="14" t="s">
        <v>242</v>
      </c>
      <c r="R489" s="14" t="s">
        <v>242</v>
      </c>
      <c r="S489" s="14" t="s">
        <v>242</v>
      </c>
      <c r="T489" s="14" t="s">
        <v>242</v>
      </c>
      <c r="U489" s="9">
        <v>12548</v>
      </c>
      <c r="V489" s="9">
        <v>13045</v>
      </c>
      <c r="AF489" s="9"/>
      <c r="AG489" s="9"/>
    </row>
    <row r="490" spans="1:33" ht="12.75">
      <c r="A490" s="2" t="s">
        <v>69</v>
      </c>
      <c r="Q490" s="9">
        <v>601</v>
      </c>
      <c r="R490" s="9">
        <v>620</v>
      </c>
      <c r="S490" s="9">
        <v>666</v>
      </c>
      <c r="T490" s="9">
        <v>618</v>
      </c>
      <c r="U490" s="9">
        <v>664</v>
      </c>
      <c r="V490" s="9">
        <v>800</v>
      </c>
      <c r="AF490" s="9"/>
      <c r="AG490" s="9"/>
    </row>
    <row r="491" spans="1:33" ht="12.75">
      <c r="A491" s="4" t="s">
        <v>137</v>
      </c>
      <c r="Q491" s="9">
        <v>2430</v>
      </c>
      <c r="R491" s="9">
        <v>2805</v>
      </c>
      <c r="S491" s="9">
        <v>3049</v>
      </c>
      <c r="T491" s="9">
        <v>3331</v>
      </c>
      <c r="U491" s="9">
        <v>3478</v>
      </c>
      <c r="V491" s="9">
        <v>3779</v>
      </c>
      <c r="AF491" s="9"/>
      <c r="AG491" s="9"/>
    </row>
    <row r="492" spans="1:33" ht="12.75">
      <c r="A492" s="2" t="s">
        <v>70</v>
      </c>
      <c r="M492" s="14"/>
      <c r="N492" s="14"/>
      <c r="O492" s="14"/>
      <c r="P492" s="14"/>
      <c r="Q492" s="14" t="s">
        <v>242</v>
      </c>
      <c r="R492" s="14" t="s">
        <v>242</v>
      </c>
      <c r="S492" s="14" t="s">
        <v>242</v>
      </c>
      <c r="T492" s="14" t="s">
        <v>242</v>
      </c>
      <c r="U492" s="9">
        <v>1215</v>
      </c>
      <c r="V492" s="9">
        <v>1397</v>
      </c>
      <c r="AF492" s="9"/>
      <c r="AG492" s="9"/>
    </row>
    <row r="493" spans="1:33" ht="12.75">
      <c r="A493" s="3" t="s">
        <v>52</v>
      </c>
      <c r="M493" s="9">
        <v>2458</v>
      </c>
      <c r="N493" s="9">
        <v>2738</v>
      </c>
      <c r="O493" s="9">
        <v>3175</v>
      </c>
      <c r="P493" s="9">
        <v>3567</v>
      </c>
      <c r="Q493" s="9">
        <v>1278</v>
      </c>
      <c r="R493" s="14">
        <v>1823</v>
      </c>
      <c r="S493" s="14">
        <v>2528</v>
      </c>
      <c r="T493" s="14">
        <v>3728</v>
      </c>
      <c r="U493" s="14" t="s">
        <v>242</v>
      </c>
      <c r="V493" s="14" t="s">
        <v>242</v>
      </c>
      <c r="AF493" s="9"/>
      <c r="AG493" s="9"/>
    </row>
    <row r="494" spans="1:33" ht="12.75">
      <c r="A494" s="3" t="s">
        <v>305</v>
      </c>
      <c r="L494" s="9">
        <v>2257</v>
      </c>
      <c r="R494" s="14"/>
      <c r="S494" s="14"/>
      <c r="T494" s="14"/>
      <c r="U494" s="14"/>
      <c r="V494" s="14"/>
      <c r="AF494" s="9"/>
      <c r="AG494" s="9"/>
    </row>
    <row r="495" spans="1:33" ht="12.75">
      <c r="A495" s="5" t="s">
        <v>71</v>
      </c>
      <c r="B495" s="9">
        <v>2754</v>
      </c>
      <c r="C495" s="9">
        <v>2842</v>
      </c>
      <c r="D495" s="9">
        <v>3091</v>
      </c>
      <c r="E495" s="9">
        <v>3265</v>
      </c>
      <c r="F495" s="9">
        <v>3614</v>
      </c>
      <c r="G495" s="9">
        <v>3788</v>
      </c>
      <c r="H495" s="9">
        <v>3931</v>
      </c>
      <c r="I495" s="9">
        <v>4081</v>
      </c>
      <c r="J495" s="9">
        <v>4328</v>
      </c>
      <c r="K495" s="9">
        <v>4594</v>
      </c>
      <c r="L495" s="9">
        <v>5708</v>
      </c>
      <c r="M495" s="9">
        <v>5587</v>
      </c>
      <c r="N495" s="9">
        <v>6204</v>
      </c>
      <c r="O495" s="9">
        <v>6239</v>
      </c>
      <c r="P495" s="9">
        <v>6614</v>
      </c>
      <c r="Q495" s="9">
        <v>7757</v>
      </c>
      <c r="R495" s="9">
        <v>8513</v>
      </c>
      <c r="S495" s="9">
        <v>9041</v>
      </c>
      <c r="T495" s="9">
        <v>9814</v>
      </c>
      <c r="U495" s="9">
        <v>11038</v>
      </c>
      <c r="V495" s="9">
        <v>11651</v>
      </c>
      <c r="AF495" s="9"/>
      <c r="AG495" s="9"/>
    </row>
    <row r="496" spans="1:33" ht="12.75">
      <c r="A496" s="9" t="s">
        <v>148</v>
      </c>
      <c r="B496" s="45">
        <f aca="true" t="shared" si="68" ref="B496:L496">B32-B484-B487-B494</f>
        <v>912</v>
      </c>
      <c r="C496" s="45">
        <f t="shared" si="68"/>
        <v>993</v>
      </c>
      <c r="D496" s="45">
        <f t="shared" si="68"/>
        <v>1102</v>
      </c>
      <c r="E496" s="45">
        <f t="shared" si="68"/>
        <v>1180</v>
      </c>
      <c r="F496" s="45">
        <f t="shared" si="68"/>
        <v>1213</v>
      </c>
      <c r="G496" s="45">
        <f t="shared" si="68"/>
        <v>1323</v>
      </c>
      <c r="H496" s="45">
        <f t="shared" si="68"/>
        <v>1432</v>
      </c>
      <c r="I496" s="45">
        <f t="shared" si="68"/>
        <v>1547</v>
      </c>
      <c r="J496" s="45">
        <f t="shared" si="68"/>
        <v>1774</v>
      </c>
      <c r="K496" s="45">
        <f t="shared" si="68"/>
        <v>2913</v>
      </c>
      <c r="L496" s="10">
        <f t="shared" si="68"/>
        <v>-1</v>
      </c>
      <c r="M496" s="10">
        <f aca="true" t="shared" si="69" ref="M496:T496">M32-M484-M487-M490-M491-M493</f>
        <v>0</v>
      </c>
      <c r="N496" s="10">
        <f t="shared" si="69"/>
        <v>0</v>
      </c>
      <c r="O496" s="10">
        <f t="shared" si="69"/>
        <v>0</v>
      </c>
      <c r="P496" s="10">
        <f t="shared" si="69"/>
        <v>0</v>
      </c>
      <c r="Q496" s="10">
        <f t="shared" si="69"/>
        <v>0</v>
      </c>
      <c r="R496" s="10">
        <f t="shared" si="69"/>
        <v>0</v>
      </c>
      <c r="S496" s="10">
        <f t="shared" si="69"/>
        <v>0</v>
      </c>
      <c r="T496" s="10">
        <f t="shared" si="69"/>
        <v>0</v>
      </c>
      <c r="U496" s="10">
        <f>U32-U484-U487-U490-U491-U492</f>
        <v>-2</v>
      </c>
      <c r="V496" s="10">
        <f>V32-V484-V487-V490-V491-V492</f>
        <v>-1</v>
      </c>
      <c r="AF496" s="9"/>
      <c r="AG496" s="9"/>
    </row>
    <row r="497" spans="1:33" ht="12.75">
      <c r="A497" s="9" t="s">
        <v>148</v>
      </c>
      <c r="B497" s="14" t="s">
        <v>242</v>
      </c>
      <c r="C497" s="14" t="s">
        <v>242</v>
      </c>
      <c r="D497" s="14" t="s">
        <v>242</v>
      </c>
      <c r="E497" s="14" t="s">
        <v>242</v>
      </c>
      <c r="F497" s="14" t="s">
        <v>242</v>
      </c>
      <c r="G497" s="14" t="s">
        <v>242</v>
      </c>
      <c r="H497" s="14" t="s">
        <v>242</v>
      </c>
      <c r="I497" s="14" t="s">
        <v>242</v>
      </c>
      <c r="J497" s="14" t="s">
        <v>242</v>
      </c>
      <c r="K497" s="14" t="s">
        <v>242</v>
      </c>
      <c r="L497" s="10">
        <f>L484-L485-L486</f>
        <v>0</v>
      </c>
      <c r="M497" s="10">
        <f>M484-M485-M486</f>
        <v>0</v>
      </c>
      <c r="N497" s="10">
        <f>N484-N485-N486</f>
        <v>0</v>
      </c>
      <c r="O497" s="10">
        <f>O484-O485-O486</f>
        <v>0</v>
      </c>
      <c r="P497" s="10">
        <f>P484-P485-P486</f>
        <v>0</v>
      </c>
      <c r="Q497" s="10">
        <f>Q484-Q486-Q485</f>
        <v>0</v>
      </c>
      <c r="R497" s="10">
        <f>R484-R485-R486</f>
        <v>0</v>
      </c>
      <c r="S497" s="10">
        <f>S484-S485-S486</f>
        <v>0</v>
      </c>
      <c r="T497" s="10">
        <f>T484-T485-T486</f>
        <v>0</v>
      </c>
      <c r="U497" s="10">
        <f>U484-U485-U486</f>
        <v>0</v>
      </c>
      <c r="V497" s="10">
        <f>V484-V485-V486</f>
        <v>0</v>
      </c>
      <c r="AF497" s="9"/>
      <c r="AG497" s="9"/>
    </row>
    <row r="498" spans="1:33" ht="12.75">
      <c r="A498" s="9" t="s">
        <v>148</v>
      </c>
      <c r="B498" s="14" t="s">
        <v>242</v>
      </c>
      <c r="C498" s="14" t="s">
        <v>242</v>
      </c>
      <c r="D498" s="14" t="s">
        <v>242</v>
      </c>
      <c r="E498" s="14" t="s">
        <v>242</v>
      </c>
      <c r="F498" s="14" t="s">
        <v>242</v>
      </c>
      <c r="G498" s="14" t="s">
        <v>242</v>
      </c>
      <c r="H498" s="14" t="s">
        <v>242</v>
      </c>
      <c r="I498" s="14" t="s">
        <v>242</v>
      </c>
      <c r="J498" s="14" t="s">
        <v>242</v>
      </c>
      <c r="K498" s="14" t="s">
        <v>242</v>
      </c>
      <c r="L498" s="14" t="s">
        <v>242</v>
      </c>
      <c r="M498" s="14" t="s">
        <v>242</v>
      </c>
      <c r="N498" s="14" t="s">
        <v>242</v>
      </c>
      <c r="O498" s="14" t="s">
        <v>242</v>
      </c>
      <c r="P498" s="14" t="s">
        <v>242</v>
      </c>
      <c r="Q498" s="14" t="s">
        <v>242</v>
      </c>
      <c r="R498" s="9" t="s">
        <v>242</v>
      </c>
      <c r="S498" s="9" t="s">
        <v>242</v>
      </c>
      <c r="T498" s="9" t="s">
        <v>242</v>
      </c>
      <c r="U498" s="10">
        <f>U487-U488-U489</f>
        <v>0</v>
      </c>
      <c r="V498" s="10">
        <f>V487-V488-V489</f>
        <v>0</v>
      </c>
      <c r="AF498" s="9"/>
      <c r="AG498" s="9"/>
    </row>
    <row r="499" spans="3:33" ht="12.75">
      <c r="C499" s="44"/>
      <c r="D499" s="44"/>
      <c r="E499" s="44"/>
      <c r="F499" s="44"/>
      <c r="G499" s="44"/>
      <c r="H499" s="44"/>
      <c r="I499" s="44"/>
      <c r="J499" s="44"/>
      <c r="K499" s="44" t="s">
        <v>326</v>
      </c>
      <c r="R499" s="10"/>
      <c r="S499" s="10"/>
      <c r="T499" s="10"/>
      <c r="U499" s="10"/>
      <c r="V499" s="10"/>
      <c r="AF499" s="9"/>
      <c r="AG499" s="9"/>
    </row>
    <row r="500" spans="1:33" ht="12.75">
      <c r="A500" s="5"/>
      <c r="R500" s="10"/>
      <c r="S500" s="10"/>
      <c r="T500" s="10"/>
      <c r="U500" s="10"/>
      <c r="V500" s="10"/>
      <c r="AF500" s="9"/>
      <c r="AG500" s="9"/>
    </row>
    <row r="501" spans="1:33" ht="12.75">
      <c r="A501" s="5"/>
      <c r="R501" s="10"/>
      <c r="S501" s="10"/>
      <c r="T501" s="10"/>
      <c r="U501" s="10"/>
      <c r="V501" s="10"/>
      <c r="AF501" s="9"/>
      <c r="AG501" s="9"/>
    </row>
    <row r="502" spans="1:33" ht="12.75">
      <c r="A502" s="3"/>
      <c r="R502" s="10"/>
      <c r="S502" s="10"/>
      <c r="T502" s="10"/>
      <c r="U502" s="10"/>
      <c r="V502" s="10"/>
      <c r="AF502" s="9"/>
      <c r="AG502" s="9"/>
    </row>
    <row r="503" spans="1:22" ht="12.75">
      <c r="A503" s="2"/>
      <c r="R503" s="10"/>
      <c r="S503" s="10"/>
      <c r="T503" s="10"/>
      <c r="U503" s="10"/>
      <c r="V503" s="10"/>
    </row>
    <row r="504" spans="1:22" ht="12.75">
      <c r="A504" s="2"/>
      <c r="R504" s="10"/>
      <c r="S504" s="10"/>
      <c r="T504" s="10"/>
      <c r="U504" s="10"/>
      <c r="V504" s="10"/>
    </row>
    <row r="505" spans="1:22" ht="12.75">
      <c r="A505" s="13"/>
      <c r="R505" s="10"/>
      <c r="S505" s="10"/>
      <c r="T505" s="10"/>
      <c r="U505" s="10"/>
      <c r="V505" s="10"/>
    </row>
    <row r="506" spans="1:22" ht="12.75">
      <c r="A506" s="5"/>
      <c r="R506" s="14"/>
      <c r="S506" s="14"/>
      <c r="T506" s="14"/>
      <c r="U506" s="14"/>
      <c r="V506" s="14"/>
    </row>
    <row r="507" ht="12.75">
      <c r="A507" s="6"/>
    </row>
    <row r="508" ht="12.75">
      <c r="A508" s="6"/>
    </row>
    <row r="509" ht="12.75">
      <c r="A509" s="1"/>
    </row>
    <row r="510" ht="12.75">
      <c r="A510" s="6"/>
    </row>
    <row r="511" spans="18:22" ht="12.75">
      <c r="R511" s="10"/>
      <c r="S511" s="10"/>
      <c r="T511" s="10"/>
      <c r="U511" s="10"/>
      <c r="V511" s="10"/>
    </row>
    <row r="512" spans="18:22" ht="12.75">
      <c r="R512" s="10"/>
      <c r="S512" s="10"/>
      <c r="T512" s="10"/>
      <c r="U512" s="10"/>
      <c r="V512" s="10"/>
    </row>
    <row r="513" spans="1:22" ht="12.75">
      <c r="A513" s="4"/>
      <c r="R513" s="10"/>
      <c r="S513" s="10"/>
      <c r="T513" s="10"/>
      <c r="U513" s="10"/>
      <c r="V513" s="10"/>
    </row>
    <row r="514" spans="1:22" ht="12.75">
      <c r="A514" s="4"/>
      <c r="R514" s="10"/>
      <c r="S514" s="10"/>
      <c r="T514" s="10"/>
      <c r="U514" s="10"/>
      <c r="V514" s="10"/>
    </row>
    <row r="520" spans="1:22" ht="12.75">
      <c r="A520" s="4"/>
      <c r="R520" s="10"/>
      <c r="S520" s="10"/>
      <c r="T520" s="10"/>
      <c r="U520" s="10"/>
      <c r="V520" s="10"/>
    </row>
    <row r="528" spans="1:22" ht="12.75">
      <c r="A528" s="4"/>
      <c r="R528" s="10"/>
      <c r="S528" s="10"/>
      <c r="T528" s="10"/>
      <c r="U528" s="10"/>
      <c r="V528" s="10"/>
    </row>
    <row r="529" spans="1:22" ht="12.75">
      <c r="A529" s="4"/>
      <c r="R529" s="10"/>
      <c r="S529" s="10"/>
      <c r="T529" s="10"/>
      <c r="U529" s="10"/>
      <c r="V529" s="10"/>
    </row>
    <row r="530" spans="1:22" ht="12.75">
      <c r="A530" s="4"/>
      <c r="R530" s="10"/>
      <c r="S530" s="10"/>
      <c r="T530" s="10"/>
      <c r="U530" s="10"/>
      <c r="V530" s="10"/>
    </row>
    <row r="531" spans="1:22" ht="12.75">
      <c r="A531" s="2"/>
      <c r="R531" s="10"/>
      <c r="S531" s="10"/>
      <c r="T531" s="10"/>
      <c r="U531" s="10"/>
      <c r="V531" s="10"/>
    </row>
    <row r="532" spans="1:22" ht="12.75">
      <c r="A532" s="2"/>
      <c r="R532" s="10"/>
      <c r="S532" s="10"/>
      <c r="T532" s="10"/>
      <c r="U532" s="10"/>
      <c r="V532" s="10"/>
    </row>
    <row r="533" spans="1:22" ht="12.75">
      <c r="A533" s="2"/>
      <c r="R533" s="10"/>
      <c r="S533" s="10"/>
      <c r="T533" s="10"/>
      <c r="U533" s="10"/>
      <c r="V533" s="10"/>
    </row>
    <row r="534" spans="1:22" ht="12.75">
      <c r="A534" s="2"/>
      <c r="R534" s="10"/>
      <c r="S534" s="10"/>
      <c r="T534" s="10"/>
      <c r="U534" s="10"/>
      <c r="V534" s="10"/>
    </row>
    <row r="535" spans="1:22" ht="12.75">
      <c r="A535" s="2"/>
      <c r="R535" s="10"/>
      <c r="S535" s="10"/>
      <c r="T535" s="10"/>
      <c r="U535" s="10"/>
      <c r="V535" s="10"/>
    </row>
    <row r="536" spans="1:22" ht="12.75">
      <c r="A536" s="4"/>
      <c r="R536" s="10"/>
      <c r="S536" s="10"/>
      <c r="T536" s="10"/>
      <c r="U536" s="10"/>
      <c r="V536" s="10"/>
    </row>
    <row r="537" spans="1:22" ht="12.75">
      <c r="A537" s="4"/>
      <c r="R537" s="10"/>
      <c r="S537" s="10"/>
      <c r="T537" s="10"/>
      <c r="U537" s="10"/>
      <c r="V537" s="10"/>
    </row>
    <row r="545" spans="1:22" ht="12.75">
      <c r="A545" s="4"/>
      <c r="R545" s="10"/>
      <c r="S545" s="10"/>
      <c r="T545" s="10"/>
      <c r="U545" s="10"/>
      <c r="V545" s="10"/>
    </row>
    <row r="546" spans="1:22" ht="12.75">
      <c r="A546" s="4"/>
      <c r="R546" s="10"/>
      <c r="S546" s="10"/>
      <c r="T546" s="10"/>
      <c r="U546" s="10"/>
      <c r="V546" s="10"/>
    </row>
    <row r="547" spans="1:22" ht="12.75">
      <c r="A547" s="2"/>
      <c r="R547" s="10"/>
      <c r="S547" s="10"/>
      <c r="T547" s="10"/>
      <c r="U547" s="10"/>
      <c r="V547" s="10"/>
    </row>
    <row r="548" spans="1:22" ht="12.75">
      <c r="A548" s="2"/>
      <c r="R548" s="10"/>
      <c r="S548" s="10"/>
      <c r="T548" s="10"/>
      <c r="U548" s="10"/>
      <c r="V548" s="10"/>
    </row>
    <row r="549" spans="1:22" ht="12.75">
      <c r="A549" s="2"/>
      <c r="R549" s="10"/>
      <c r="S549" s="10"/>
      <c r="T549" s="10"/>
      <c r="U549" s="10"/>
      <c r="V549" s="10"/>
    </row>
    <row r="550" spans="1:22" ht="12.75">
      <c r="A550" s="2"/>
      <c r="R550" s="10"/>
      <c r="S550" s="10"/>
      <c r="T550" s="10"/>
      <c r="U550" s="10"/>
      <c r="V550" s="10"/>
    </row>
    <row r="551" spans="1:22" ht="12.75">
      <c r="A551" s="2"/>
      <c r="R551" s="10"/>
      <c r="S551" s="10"/>
      <c r="T551" s="10"/>
      <c r="U551" s="10"/>
      <c r="V551" s="10"/>
    </row>
  </sheetData>
  <printOptions gridLines="1"/>
  <pageMargins left="0.75" right="0.75" top="0.52" bottom="0.5" header="0.5" footer="0.5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S546"/>
  <sheetViews>
    <sheetView workbookViewId="0" topLeftCell="A1">
      <pane xSplit="1" ySplit="1" topLeftCell="N21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R226" sqref="R226"/>
    </sheetView>
  </sheetViews>
  <sheetFormatPr defaultColWidth="9.140625" defaultRowHeight="12.75"/>
  <cols>
    <col min="1" max="1" width="29.00390625" style="8" customWidth="1"/>
    <col min="2" max="3" width="11.28125" style="9" customWidth="1"/>
    <col min="4" max="4" width="10.7109375" style="9" customWidth="1"/>
    <col min="5" max="17" width="11.28125" style="9" customWidth="1"/>
    <col min="18" max="22" width="10.8515625" style="9" customWidth="1"/>
    <col min="23" max="23" width="31.28125" style="0" bestFit="1" customWidth="1"/>
    <col min="24" max="24" width="27.421875" style="0" customWidth="1"/>
    <col min="25" max="25" width="9.42187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ht="12.75">
      <c r="A3" s="6"/>
    </row>
    <row r="4" ht="12.75">
      <c r="A4" s="17" t="s">
        <v>267</v>
      </c>
    </row>
    <row r="5" spans="1:22" ht="12.75">
      <c r="A5" s="17"/>
      <c r="R5" s="10"/>
      <c r="S5" s="10"/>
      <c r="T5" s="10"/>
      <c r="U5" s="10"/>
      <c r="V5" s="10"/>
    </row>
    <row r="6" spans="1:40" ht="12.75">
      <c r="A6" s="3" t="s">
        <v>145</v>
      </c>
      <c r="B6" s="9">
        <v>75969</v>
      </c>
      <c r="C6" s="9">
        <v>77601</v>
      </c>
      <c r="D6" s="9">
        <v>79087</v>
      </c>
      <c r="E6" s="9">
        <v>80881</v>
      </c>
      <c r="F6" s="9">
        <v>82420</v>
      </c>
      <c r="G6" s="9">
        <v>84618</v>
      </c>
      <c r="H6" s="9">
        <v>86374</v>
      </c>
      <c r="I6" s="9">
        <v>88207</v>
      </c>
      <c r="J6" s="9">
        <v>91561</v>
      </c>
      <c r="K6" s="9">
        <v>93519</v>
      </c>
      <c r="L6" s="9">
        <v>99931</v>
      </c>
      <c r="M6" s="9">
        <v>102652</v>
      </c>
      <c r="N6" s="9">
        <v>105661</v>
      </c>
      <c r="O6" s="9">
        <v>104592</v>
      </c>
      <c r="P6" s="9">
        <v>106611</v>
      </c>
      <c r="Q6" s="9">
        <v>109457</v>
      </c>
      <c r="R6" s="10">
        <v>112357</v>
      </c>
      <c r="S6" s="10">
        <v>115253</v>
      </c>
      <c r="T6" s="10">
        <v>119117</v>
      </c>
      <c r="U6" s="10">
        <v>120777</v>
      </c>
      <c r="V6" s="10">
        <v>124377</v>
      </c>
      <c r="AN6" s="9"/>
    </row>
    <row r="7" spans="1:40" ht="12.75">
      <c r="A7" s="3"/>
      <c r="R7" s="10"/>
      <c r="S7" s="10"/>
      <c r="T7" s="10"/>
      <c r="U7" s="10"/>
      <c r="V7" s="10"/>
      <c r="AN7" s="9"/>
    </row>
    <row r="8" spans="1:22" ht="12.75">
      <c r="A8" s="5" t="s">
        <v>149</v>
      </c>
      <c r="R8" s="10"/>
      <c r="S8" s="10"/>
      <c r="T8" s="10"/>
      <c r="U8" s="10"/>
      <c r="V8" s="10"/>
    </row>
    <row r="9" spans="1:40" ht="12.75">
      <c r="A9" s="5" t="s">
        <v>35</v>
      </c>
      <c r="B9" s="9">
        <v>17684</v>
      </c>
      <c r="C9" s="9">
        <v>18046</v>
      </c>
      <c r="D9" s="9">
        <v>18053</v>
      </c>
      <c r="E9" s="9">
        <v>18283</v>
      </c>
      <c r="F9" s="9">
        <v>18387</v>
      </c>
      <c r="G9" s="9">
        <v>18772</v>
      </c>
      <c r="H9" s="9">
        <v>18953</v>
      </c>
      <c r="I9" s="9">
        <v>19272</v>
      </c>
      <c r="J9" s="9">
        <v>19817</v>
      </c>
      <c r="K9" s="9">
        <v>20053</v>
      </c>
      <c r="L9" s="9">
        <v>20864</v>
      </c>
      <c r="M9" s="9">
        <v>21164</v>
      </c>
      <c r="N9" s="9">
        <v>21729</v>
      </c>
      <c r="O9" s="9">
        <v>21093</v>
      </c>
      <c r="P9" s="9">
        <v>21157</v>
      </c>
      <c r="Q9" s="9">
        <v>21461</v>
      </c>
      <c r="R9" s="10">
        <v>21776</v>
      </c>
      <c r="S9" s="10">
        <v>22016</v>
      </c>
      <c r="T9" s="10">
        <v>22347</v>
      </c>
      <c r="U9" s="10">
        <v>22602</v>
      </c>
      <c r="V9" s="10">
        <v>22839</v>
      </c>
      <c r="AN9" s="9"/>
    </row>
    <row r="10" spans="1:40" ht="12.75">
      <c r="A10" s="2" t="s">
        <v>36</v>
      </c>
      <c r="B10" s="9">
        <v>20352</v>
      </c>
      <c r="C10" s="9">
        <v>20585</v>
      </c>
      <c r="D10" s="9">
        <v>21035</v>
      </c>
      <c r="E10" s="9">
        <v>21381</v>
      </c>
      <c r="F10" s="9">
        <v>21622</v>
      </c>
      <c r="G10" s="9">
        <v>22028</v>
      </c>
      <c r="H10" s="9">
        <v>22495</v>
      </c>
      <c r="I10" s="9">
        <v>22800</v>
      </c>
      <c r="J10" s="9">
        <v>23655</v>
      </c>
      <c r="K10" s="9">
        <v>23874</v>
      </c>
      <c r="L10" s="9">
        <v>24565</v>
      </c>
      <c r="M10" s="9">
        <v>24507</v>
      </c>
      <c r="N10" s="9">
        <v>25269</v>
      </c>
      <c r="O10" s="9">
        <v>24987</v>
      </c>
      <c r="P10" s="9">
        <v>25480</v>
      </c>
      <c r="Q10" s="9">
        <v>26056</v>
      </c>
      <c r="R10" s="10">
        <v>26580</v>
      </c>
      <c r="S10" s="10">
        <v>27077</v>
      </c>
      <c r="T10" s="10">
        <v>27748</v>
      </c>
      <c r="U10" s="10">
        <v>27893</v>
      </c>
      <c r="V10" s="10">
        <v>28642</v>
      </c>
      <c r="AN10" s="9"/>
    </row>
    <row r="11" spans="1:40" ht="12.75">
      <c r="A11" s="2" t="s">
        <v>37</v>
      </c>
      <c r="B11" s="9">
        <v>24095</v>
      </c>
      <c r="C11" s="9">
        <v>24750</v>
      </c>
      <c r="D11" s="9">
        <v>25364</v>
      </c>
      <c r="E11" s="9">
        <v>26115</v>
      </c>
      <c r="F11" s="9">
        <v>26816</v>
      </c>
      <c r="G11" s="9">
        <v>27601</v>
      </c>
      <c r="H11" s="9">
        <v>28271</v>
      </c>
      <c r="I11" s="9">
        <v>29057</v>
      </c>
      <c r="J11" s="9">
        <v>30226</v>
      </c>
      <c r="K11" s="9">
        <v>31150</v>
      </c>
      <c r="L11" s="9">
        <v>34815</v>
      </c>
      <c r="M11" s="9">
        <v>36356</v>
      </c>
      <c r="N11" s="9">
        <v>37491</v>
      </c>
      <c r="O11" s="9">
        <v>36983</v>
      </c>
      <c r="P11" s="9">
        <v>37886</v>
      </c>
      <c r="Q11" s="9">
        <v>39148</v>
      </c>
      <c r="R11" s="10">
        <v>40403</v>
      </c>
      <c r="S11" s="10">
        <v>41819</v>
      </c>
      <c r="T11" s="10">
        <v>43571</v>
      </c>
      <c r="U11" s="10">
        <v>44659</v>
      </c>
      <c r="V11" s="10">
        <v>46400</v>
      </c>
      <c r="AN11" s="9"/>
    </row>
    <row r="12" spans="1:40" ht="12.75">
      <c r="A12" s="2" t="s">
        <v>38</v>
      </c>
      <c r="B12" s="9">
        <v>13838</v>
      </c>
      <c r="C12" s="9">
        <v>14221</v>
      </c>
      <c r="D12" s="9">
        <v>14635</v>
      </c>
      <c r="E12" s="9">
        <v>15102</v>
      </c>
      <c r="F12" s="9">
        <v>15594</v>
      </c>
      <c r="G12" s="9">
        <v>16218</v>
      </c>
      <c r="H12" s="9">
        <v>16656</v>
      </c>
      <c r="I12" s="9">
        <v>17078</v>
      </c>
      <c r="J12" s="9">
        <v>17862</v>
      </c>
      <c r="K12" s="9">
        <v>18443</v>
      </c>
      <c r="L12" s="9">
        <v>19687</v>
      </c>
      <c r="M12" s="9">
        <v>20625</v>
      </c>
      <c r="N12" s="9">
        <v>21171</v>
      </c>
      <c r="O12" s="9">
        <v>21528</v>
      </c>
      <c r="P12" s="9">
        <v>22088</v>
      </c>
      <c r="Q12" s="9">
        <v>22791</v>
      </c>
      <c r="R12" s="10">
        <v>23599</v>
      </c>
      <c r="S12" s="10">
        <v>24342</v>
      </c>
      <c r="T12" s="10">
        <v>25450</v>
      </c>
      <c r="U12" s="10">
        <v>25623</v>
      </c>
      <c r="V12" s="10">
        <v>26496</v>
      </c>
      <c r="AN12" s="9"/>
    </row>
    <row r="13" spans="1:22" ht="12.75">
      <c r="A13" s="2"/>
      <c r="R13" s="10"/>
      <c r="S13" s="10"/>
      <c r="T13" s="10"/>
      <c r="U13" s="10"/>
      <c r="V13" s="10"/>
    </row>
    <row r="14" spans="1:22" ht="12.75">
      <c r="A14" s="5" t="s">
        <v>150</v>
      </c>
      <c r="R14" s="10"/>
      <c r="S14" s="10"/>
      <c r="T14" s="10"/>
      <c r="U14" s="10"/>
      <c r="V14" s="10"/>
    </row>
    <row r="15" spans="1:40" ht="12.75">
      <c r="A15" s="5" t="s">
        <v>39</v>
      </c>
      <c r="B15" s="9">
        <v>51143</v>
      </c>
      <c r="C15" s="9">
        <v>52066</v>
      </c>
      <c r="D15" s="9">
        <v>53031</v>
      </c>
      <c r="E15" s="9">
        <v>53934</v>
      </c>
      <c r="F15" s="9">
        <v>54897</v>
      </c>
      <c r="G15" s="9">
        <v>56384</v>
      </c>
      <c r="H15" s="9">
        <v>57484</v>
      </c>
      <c r="I15" s="9">
        <v>58477</v>
      </c>
      <c r="J15" s="9">
        <v>60928</v>
      </c>
      <c r="K15" s="9">
        <v>62293</v>
      </c>
      <c r="L15" s="9">
        <v>75853</v>
      </c>
      <c r="M15" s="9">
        <v>78108</v>
      </c>
      <c r="N15" s="9">
        <v>80936</v>
      </c>
      <c r="O15" s="9">
        <v>79949</v>
      </c>
      <c r="P15" s="9">
        <v>81293</v>
      </c>
      <c r="Q15" s="9">
        <v>83349</v>
      </c>
      <c r="R15" s="10">
        <v>85466</v>
      </c>
      <c r="S15" s="10">
        <v>87697</v>
      </c>
      <c r="T15" s="10">
        <v>93058</v>
      </c>
      <c r="U15" s="10">
        <v>94488</v>
      </c>
      <c r="V15" s="10">
        <v>94798</v>
      </c>
      <c r="AN15" s="9"/>
    </row>
    <row r="16" spans="1:40" ht="12.75">
      <c r="A16" s="2" t="s">
        <v>40</v>
      </c>
      <c r="B16" s="9">
        <v>24123</v>
      </c>
      <c r="C16" s="9">
        <v>24081</v>
      </c>
      <c r="D16" s="9">
        <v>24245</v>
      </c>
      <c r="E16" s="9">
        <v>24576</v>
      </c>
      <c r="F16" s="9">
        <v>24860</v>
      </c>
      <c r="G16" s="9">
        <v>25213</v>
      </c>
      <c r="H16" s="9">
        <v>25422</v>
      </c>
      <c r="I16" s="9">
        <v>25511</v>
      </c>
      <c r="J16" s="9">
        <v>26575</v>
      </c>
      <c r="K16" s="9">
        <v>27257</v>
      </c>
      <c r="L16" s="9">
        <v>32665</v>
      </c>
      <c r="M16" s="9">
        <v>33404</v>
      </c>
      <c r="N16" s="9">
        <v>33685</v>
      </c>
      <c r="O16" s="9">
        <v>32925</v>
      </c>
      <c r="P16" s="9">
        <v>33140</v>
      </c>
      <c r="Q16" s="9">
        <v>33513</v>
      </c>
      <c r="R16" s="10">
        <v>34062</v>
      </c>
      <c r="S16" s="10">
        <v>34456</v>
      </c>
      <c r="T16" s="10">
        <v>35076</v>
      </c>
      <c r="U16" s="10">
        <v>35217</v>
      </c>
      <c r="V16" s="10">
        <v>35826</v>
      </c>
      <c r="AN16" s="9"/>
    </row>
    <row r="17" spans="1:40" ht="12.75">
      <c r="A17" s="2" t="s">
        <v>41</v>
      </c>
      <c r="B17" s="9">
        <v>27020</v>
      </c>
      <c r="C17" s="9">
        <v>27985</v>
      </c>
      <c r="D17" s="9">
        <v>28785</v>
      </c>
      <c r="E17" s="9">
        <v>29359</v>
      </c>
      <c r="F17" s="9">
        <v>30037</v>
      </c>
      <c r="G17" s="9">
        <v>31171</v>
      </c>
      <c r="H17" s="9">
        <v>32062</v>
      </c>
      <c r="I17" s="9">
        <v>32967</v>
      </c>
      <c r="J17" s="9">
        <v>34353</v>
      </c>
      <c r="K17" s="9">
        <v>35036</v>
      </c>
      <c r="L17" s="9">
        <v>43188</v>
      </c>
      <c r="M17" s="9">
        <v>44704</v>
      </c>
      <c r="N17" s="9">
        <v>47251</v>
      </c>
      <c r="O17" s="9">
        <v>47024</v>
      </c>
      <c r="P17" s="9">
        <v>48153</v>
      </c>
      <c r="Q17" s="9">
        <v>49836</v>
      </c>
      <c r="R17" s="10">
        <v>51404</v>
      </c>
      <c r="S17" s="10">
        <v>53241</v>
      </c>
      <c r="T17" s="10">
        <v>57983</v>
      </c>
      <c r="U17" s="10">
        <v>59271</v>
      </c>
      <c r="V17" s="10">
        <v>58971</v>
      </c>
      <c r="AN17" s="9"/>
    </row>
    <row r="18" spans="1:40" ht="12.75">
      <c r="A18" s="4" t="s">
        <v>42</v>
      </c>
      <c r="B18" s="9">
        <v>24826</v>
      </c>
      <c r="C18" s="9">
        <v>25535</v>
      </c>
      <c r="D18" s="9">
        <v>26057</v>
      </c>
      <c r="E18" s="9">
        <v>26947</v>
      </c>
      <c r="F18" s="9">
        <v>27523</v>
      </c>
      <c r="G18" s="9">
        <v>28235</v>
      </c>
      <c r="H18" s="9">
        <v>28890</v>
      </c>
      <c r="I18" s="9">
        <v>29730</v>
      </c>
      <c r="J18" s="9">
        <v>30633</v>
      </c>
      <c r="K18" s="9">
        <v>31226</v>
      </c>
      <c r="L18" s="9">
        <v>24078</v>
      </c>
      <c r="M18" s="9">
        <v>24544</v>
      </c>
      <c r="N18" s="9">
        <v>24725</v>
      </c>
      <c r="O18" s="9">
        <v>24643</v>
      </c>
      <c r="P18" s="9">
        <v>25318</v>
      </c>
      <c r="Q18" s="9">
        <v>26108</v>
      </c>
      <c r="R18" s="10">
        <v>26891</v>
      </c>
      <c r="S18" s="10">
        <v>27555</v>
      </c>
      <c r="T18" s="10">
        <v>26058</v>
      </c>
      <c r="U18" s="10">
        <v>26289</v>
      </c>
      <c r="V18" s="10">
        <v>29579</v>
      </c>
      <c r="AN18" s="9"/>
    </row>
    <row r="19" spans="1:22" ht="12.75">
      <c r="A19" s="12"/>
      <c r="R19" s="10"/>
      <c r="S19" s="10"/>
      <c r="T19" s="10"/>
      <c r="U19" s="10"/>
      <c r="V19" s="10"/>
    </row>
    <row r="20" spans="1:40" ht="12.75">
      <c r="A20" s="3" t="s">
        <v>147</v>
      </c>
      <c r="B20" s="9">
        <v>676</v>
      </c>
      <c r="C20" s="9">
        <v>1715</v>
      </c>
      <c r="D20" s="9">
        <v>1534</v>
      </c>
      <c r="E20" s="9">
        <v>1565</v>
      </c>
      <c r="F20" s="9">
        <v>1704</v>
      </c>
      <c r="G20" s="9">
        <v>1785</v>
      </c>
      <c r="H20" s="9">
        <v>1788</v>
      </c>
      <c r="I20" s="9">
        <v>2183</v>
      </c>
      <c r="J20" s="9">
        <v>1950</v>
      </c>
      <c r="K20" s="9">
        <v>1845</v>
      </c>
      <c r="L20" s="9">
        <v>3182</v>
      </c>
      <c r="M20" s="9">
        <v>2837</v>
      </c>
      <c r="N20" s="9">
        <v>2881</v>
      </c>
      <c r="O20" s="9">
        <v>2728</v>
      </c>
      <c r="P20" s="9">
        <v>3088</v>
      </c>
      <c r="Q20" s="9">
        <v>3054</v>
      </c>
      <c r="R20" s="10">
        <v>3166</v>
      </c>
      <c r="S20" s="10">
        <v>2961</v>
      </c>
      <c r="T20" s="10">
        <v>3078</v>
      </c>
      <c r="U20" s="10">
        <v>3566</v>
      </c>
      <c r="V20" s="10">
        <v>3845</v>
      </c>
      <c r="AN20" s="9"/>
    </row>
    <row r="21" spans="1:40" ht="12.75">
      <c r="A21" s="3" t="s">
        <v>146</v>
      </c>
      <c r="B21" s="9">
        <v>75293</v>
      </c>
      <c r="C21" s="9">
        <v>75886</v>
      </c>
      <c r="D21" s="9">
        <v>77553</v>
      </c>
      <c r="E21" s="9">
        <v>79316</v>
      </c>
      <c r="F21" s="9">
        <v>80716</v>
      </c>
      <c r="G21" s="9">
        <v>82833</v>
      </c>
      <c r="H21" s="9">
        <v>84586</v>
      </c>
      <c r="I21" s="9">
        <v>86024</v>
      </c>
      <c r="J21" s="9">
        <v>89610</v>
      </c>
      <c r="K21" s="9">
        <v>91675</v>
      </c>
      <c r="L21" s="9">
        <v>96749</v>
      </c>
      <c r="M21" s="9">
        <v>99815</v>
      </c>
      <c r="N21" s="9">
        <v>102780</v>
      </c>
      <c r="O21" s="9">
        <v>101864</v>
      </c>
      <c r="P21" s="9">
        <v>103522</v>
      </c>
      <c r="Q21" s="9">
        <v>106403</v>
      </c>
      <c r="R21" s="10">
        <v>109191</v>
      </c>
      <c r="S21" s="10">
        <v>112292</v>
      </c>
      <c r="T21" s="10">
        <v>116038</v>
      </c>
      <c r="U21" s="10">
        <v>117211</v>
      </c>
      <c r="V21" s="10">
        <v>120532</v>
      </c>
      <c r="W21" s="31">
        <f>(V21-D21)/D21</f>
        <v>0.554188748339845</v>
      </c>
      <c r="AN21" s="9"/>
    </row>
    <row r="22" spans="1:22" ht="12.75">
      <c r="A22" s="3"/>
      <c r="R22" s="10"/>
      <c r="S22" s="10"/>
      <c r="T22" s="10"/>
      <c r="U22" s="10"/>
      <c r="V22" s="10"/>
    </row>
    <row r="23" spans="1:22" ht="12.75">
      <c r="A23" s="3" t="s">
        <v>159</v>
      </c>
      <c r="R23" s="10"/>
      <c r="S23" s="10"/>
      <c r="T23" s="10"/>
      <c r="U23" s="10"/>
      <c r="V23" s="10"/>
    </row>
    <row r="24" spans="1:40" ht="12.75">
      <c r="A24" s="3" t="s">
        <v>80</v>
      </c>
      <c r="B24" s="14" t="s">
        <v>242</v>
      </c>
      <c r="C24" s="14" t="s">
        <v>242</v>
      </c>
      <c r="D24" s="9">
        <v>366</v>
      </c>
      <c r="E24" s="9">
        <v>410</v>
      </c>
      <c r="F24" s="9">
        <v>350</v>
      </c>
      <c r="G24" s="9">
        <v>351</v>
      </c>
      <c r="H24" s="9">
        <v>346</v>
      </c>
      <c r="I24" s="9">
        <v>319</v>
      </c>
      <c r="J24" s="9">
        <v>422</v>
      </c>
      <c r="K24" s="9">
        <v>371</v>
      </c>
      <c r="L24" s="9">
        <v>527</v>
      </c>
      <c r="M24" s="1">
        <v>771</v>
      </c>
      <c r="N24" s="1">
        <v>624</v>
      </c>
      <c r="O24" s="1">
        <v>721</v>
      </c>
      <c r="P24" s="1">
        <v>839</v>
      </c>
      <c r="Q24" s="1">
        <v>748</v>
      </c>
      <c r="R24" s="10">
        <v>727</v>
      </c>
      <c r="S24" s="10">
        <v>665</v>
      </c>
      <c r="T24" s="10">
        <v>670</v>
      </c>
      <c r="U24" s="10">
        <v>634</v>
      </c>
      <c r="V24" s="10">
        <v>713</v>
      </c>
      <c r="W24" s="31">
        <f>(V24-D24)/D24</f>
        <v>0.9480874316939891</v>
      </c>
      <c r="AN24" s="9"/>
    </row>
    <row r="25" spans="1:40" ht="12.75">
      <c r="A25" s="2" t="s">
        <v>81</v>
      </c>
      <c r="B25" s="14" t="s">
        <v>242</v>
      </c>
      <c r="C25" s="14" t="s">
        <v>242</v>
      </c>
      <c r="D25" s="9">
        <v>621</v>
      </c>
      <c r="E25" s="9">
        <v>709</v>
      </c>
      <c r="F25" s="9">
        <v>723</v>
      </c>
      <c r="G25" s="9">
        <v>913</v>
      </c>
      <c r="H25" s="9">
        <v>1039</v>
      </c>
      <c r="I25" s="9">
        <v>1220</v>
      </c>
      <c r="J25" s="9">
        <v>1421</v>
      </c>
      <c r="K25" s="9">
        <v>1522</v>
      </c>
      <c r="L25" s="9">
        <v>3284</v>
      </c>
      <c r="M25" s="1">
        <v>3936</v>
      </c>
      <c r="N25" s="1">
        <v>4199</v>
      </c>
      <c r="O25" s="1">
        <v>4225</v>
      </c>
      <c r="P25" s="1">
        <v>4420</v>
      </c>
      <c r="Q25" s="1">
        <v>4677</v>
      </c>
      <c r="R25" s="10">
        <v>6423</v>
      </c>
      <c r="S25" s="10">
        <v>5273</v>
      </c>
      <c r="T25" s="10">
        <v>5602</v>
      </c>
      <c r="U25" s="10">
        <v>5589</v>
      </c>
      <c r="V25" s="10">
        <v>5975</v>
      </c>
      <c r="W25" s="31">
        <f>(V25-D25)/D25</f>
        <v>8.621578099838969</v>
      </c>
      <c r="X25" s="31">
        <f>(V24+V25)/V39</f>
        <v>0.08925544834581148</v>
      </c>
      <c r="AN25" s="9"/>
    </row>
    <row r="26" spans="1:22" ht="12.75">
      <c r="A26" s="2"/>
      <c r="R26" s="10"/>
      <c r="S26" s="10"/>
      <c r="T26" s="10"/>
      <c r="U26" s="10"/>
      <c r="V26" s="10"/>
    </row>
    <row r="27" spans="1:22" ht="12.75">
      <c r="A27" s="2" t="s">
        <v>158</v>
      </c>
      <c r="R27" s="10"/>
      <c r="S27" s="10"/>
      <c r="T27" s="10"/>
      <c r="U27" s="10"/>
      <c r="V27" s="10"/>
    </row>
    <row r="28" spans="1:40" ht="12.75">
      <c r="A28" s="5" t="s">
        <v>0</v>
      </c>
      <c r="B28" s="9">
        <v>69337</v>
      </c>
      <c r="C28" s="9">
        <v>70830</v>
      </c>
      <c r="D28" s="9">
        <v>72523</v>
      </c>
      <c r="E28" s="9">
        <v>74005</v>
      </c>
      <c r="F28" s="9">
        <v>75280</v>
      </c>
      <c r="G28" s="9">
        <v>77167</v>
      </c>
      <c r="H28" s="9">
        <v>78572</v>
      </c>
      <c r="I28" s="9">
        <v>80072</v>
      </c>
      <c r="J28" s="9">
        <v>83175</v>
      </c>
      <c r="K28" s="9">
        <v>84638</v>
      </c>
      <c r="L28" s="9">
        <v>88425</v>
      </c>
      <c r="M28" s="9">
        <v>90888</v>
      </c>
      <c r="N28" s="9">
        <v>93683</v>
      </c>
      <c r="O28" s="9">
        <v>93147</v>
      </c>
      <c r="P28" s="9">
        <v>94724</v>
      </c>
      <c r="Q28" s="9">
        <v>97693</v>
      </c>
      <c r="R28" s="10">
        <v>99487</v>
      </c>
      <c r="S28" s="10">
        <v>102803</v>
      </c>
      <c r="T28" s="10">
        <v>106261</v>
      </c>
      <c r="U28" s="10">
        <v>105842</v>
      </c>
      <c r="V28" s="10">
        <v>108871</v>
      </c>
      <c r="AN28" s="9"/>
    </row>
    <row r="29" spans="1:40" ht="12.75">
      <c r="A29" s="5" t="s">
        <v>1</v>
      </c>
      <c r="B29" s="9">
        <v>5956</v>
      </c>
      <c r="C29" s="9">
        <v>5056</v>
      </c>
      <c r="D29" s="9">
        <v>5030</v>
      </c>
      <c r="E29" s="9">
        <v>5311</v>
      </c>
      <c r="F29" s="9">
        <v>5436</v>
      </c>
      <c r="G29" s="9">
        <v>5667</v>
      </c>
      <c r="H29" s="9">
        <v>6014</v>
      </c>
      <c r="I29" s="9">
        <v>5953</v>
      </c>
      <c r="J29" s="9">
        <v>6435</v>
      </c>
      <c r="K29" s="9">
        <v>7037</v>
      </c>
      <c r="L29" s="9">
        <v>8324</v>
      </c>
      <c r="M29" s="9">
        <v>8927</v>
      </c>
      <c r="N29" s="9">
        <v>9097</v>
      </c>
      <c r="O29" s="9">
        <v>8717</v>
      </c>
      <c r="P29" s="9">
        <v>8799</v>
      </c>
      <c r="Q29" s="9">
        <v>8710</v>
      </c>
      <c r="R29" s="10">
        <v>9704</v>
      </c>
      <c r="S29" s="10">
        <v>9489</v>
      </c>
      <c r="T29" s="10">
        <v>9777</v>
      </c>
      <c r="U29" s="10">
        <v>11369</v>
      </c>
      <c r="V29" s="10">
        <v>11660</v>
      </c>
      <c r="AN29" s="9"/>
    </row>
    <row r="30" spans="1:40" ht="12.75">
      <c r="A30" s="13" t="s">
        <v>390</v>
      </c>
      <c r="B30" s="9">
        <v>1545</v>
      </c>
      <c r="C30" s="9">
        <v>1630</v>
      </c>
      <c r="D30" s="9">
        <v>1489</v>
      </c>
      <c r="E30" s="9">
        <v>1544</v>
      </c>
      <c r="F30" s="9">
        <v>1532</v>
      </c>
      <c r="G30" s="9">
        <v>1545</v>
      </c>
      <c r="H30" s="9">
        <v>1600</v>
      </c>
      <c r="I30" s="9">
        <v>1497</v>
      </c>
      <c r="J30" s="9">
        <v>1634</v>
      </c>
      <c r="K30" s="9">
        <v>1906</v>
      </c>
      <c r="L30" s="9">
        <v>2518</v>
      </c>
      <c r="M30" s="9">
        <v>2895</v>
      </c>
      <c r="N30" s="9">
        <v>2644</v>
      </c>
      <c r="O30" s="9">
        <v>2684</v>
      </c>
      <c r="P30" s="9">
        <v>2651</v>
      </c>
      <c r="Q30" s="9">
        <v>2666</v>
      </c>
      <c r="R30" s="10">
        <v>2884</v>
      </c>
      <c r="S30" s="10">
        <v>2719</v>
      </c>
      <c r="T30" s="10">
        <v>2916</v>
      </c>
      <c r="U30" s="10">
        <v>3597</v>
      </c>
      <c r="V30" s="10">
        <v>3707</v>
      </c>
      <c r="AN30" s="9"/>
    </row>
    <row r="31" spans="1:40" ht="12.75">
      <c r="A31" s="13" t="s">
        <v>391</v>
      </c>
      <c r="B31" s="9">
        <v>502</v>
      </c>
      <c r="C31" s="9">
        <v>547</v>
      </c>
      <c r="D31" s="9">
        <v>577</v>
      </c>
      <c r="E31" s="9">
        <v>617</v>
      </c>
      <c r="F31" s="9">
        <v>596</v>
      </c>
      <c r="G31" s="9">
        <v>624</v>
      </c>
      <c r="H31" s="9">
        <v>677</v>
      </c>
      <c r="I31" s="9">
        <v>755</v>
      </c>
      <c r="J31" s="9">
        <v>812</v>
      </c>
      <c r="K31" s="9">
        <v>955</v>
      </c>
      <c r="L31" s="9">
        <v>1128</v>
      </c>
      <c r="M31" s="9">
        <v>1116</v>
      </c>
      <c r="N31" s="9">
        <v>1115</v>
      </c>
      <c r="O31" s="9">
        <v>1026</v>
      </c>
      <c r="P31" s="9">
        <v>889</v>
      </c>
      <c r="Q31" s="9">
        <v>917</v>
      </c>
      <c r="R31" s="10">
        <v>1043</v>
      </c>
      <c r="S31" s="10">
        <v>971</v>
      </c>
      <c r="T31" s="10">
        <v>1243</v>
      </c>
      <c r="U31" s="10">
        <v>1284</v>
      </c>
      <c r="V31" s="10">
        <v>1401</v>
      </c>
      <c r="AN31" s="9"/>
    </row>
    <row r="32" spans="1:40" ht="12.75">
      <c r="A32" s="13" t="s">
        <v>392</v>
      </c>
      <c r="B32" s="9">
        <v>737</v>
      </c>
      <c r="C32" s="9">
        <v>599</v>
      </c>
      <c r="D32" s="9">
        <v>667</v>
      </c>
      <c r="E32" s="9">
        <v>835</v>
      </c>
      <c r="F32" s="9">
        <v>805</v>
      </c>
      <c r="G32" s="9">
        <v>772</v>
      </c>
      <c r="H32" s="9">
        <v>999</v>
      </c>
      <c r="I32" s="9">
        <v>887</v>
      </c>
      <c r="J32" s="9">
        <v>854</v>
      </c>
      <c r="K32" s="9">
        <v>1005</v>
      </c>
      <c r="L32" s="9">
        <v>895</v>
      </c>
      <c r="M32" s="9">
        <v>845</v>
      </c>
      <c r="N32" s="9">
        <v>801</v>
      </c>
      <c r="O32" s="9">
        <v>754</v>
      </c>
      <c r="P32" s="9">
        <v>882</v>
      </c>
      <c r="Q32" s="9">
        <v>690</v>
      </c>
      <c r="R32" s="10">
        <v>753</v>
      </c>
      <c r="S32" s="10">
        <v>773</v>
      </c>
      <c r="T32" s="10">
        <v>731</v>
      </c>
      <c r="U32" s="10">
        <v>932</v>
      </c>
      <c r="V32" s="10">
        <v>994</v>
      </c>
      <c r="AN32" s="9"/>
    </row>
    <row r="33" spans="1:40" ht="12.75">
      <c r="A33" s="13" t="s">
        <v>393</v>
      </c>
      <c r="B33" s="9">
        <v>1280</v>
      </c>
      <c r="C33" s="9">
        <v>1096</v>
      </c>
      <c r="D33" s="9">
        <v>1050</v>
      </c>
      <c r="E33" s="9">
        <v>1099</v>
      </c>
      <c r="F33" s="9">
        <v>1104</v>
      </c>
      <c r="G33" s="9">
        <v>1166</v>
      </c>
      <c r="H33" s="9">
        <v>1199</v>
      </c>
      <c r="I33" s="9">
        <v>1303</v>
      </c>
      <c r="J33" s="9">
        <v>1459</v>
      </c>
      <c r="K33" s="9">
        <v>1459</v>
      </c>
      <c r="L33" s="9">
        <v>2195</v>
      </c>
      <c r="M33" s="9">
        <v>2226</v>
      </c>
      <c r="N33" s="9">
        <v>2718</v>
      </c>
      <c r="O33" s="9">
        <v>2611</v>
      </c>
      <c r="P33" s="9">
        <v>2506</v>
      </c>
      <c r="Q33" s="9">
        <v>2757</v>
      </c>
      <c r="R33" s="10">
        <v>2796</v>
      </c>
      <c r="S33" s="10">
        <v>2648</v>
      </c>
      <c r="T33" s="10">
        <v>2594</v>
      </c>
      <c r="U33" s="10">
        <v>2647</v>
      </c>
      <c r="V33" s="10">
        <v>2695</v>
      </c>
      <c r="AN33" s="9"/>
    </row>
    <row r="34" spans="1:40" ht="12.75">
      <c r="A34" s="13" t="s">
        <v>394</v>
      </c>
      <c r="B34" s="9">
        <v>1893</v>
      </c>
      <c r="C34" s="9">
        <v>1184</v>
      </c>
      <c r="D34" s="9">
        <v>1246</v>
      </c>
      <c r="E34" s="9">
        <v>1217</v>
      </c>
      <c r="F34" s="9">
        <v>1399</v>
      </c>
      <c r="G34" s="9">
        <v>1561</v>
      </c>
      <c r="H34" s="9">
        <v>1540</v>
      </c>
      <c r="I34" s="9">
        <v>1511</v>
      </c>
      <c r="J34" s="9">
        <v>1676</v>
      </c>
      <c r="K34" s="9">
        <v>1712</v>
      </c>
      <c r="L34" s="9">
        <v>1587</v>
      </c>
      <c r="M34" s="9">
        <v>1846</v>
      </c>
      <c r="N34" s="9">
        <v>1819</v>
      </c>
      <c r="O34" s="9">
        <v>1643</v>
      </c>
      <c r="P34" s="9">
        <v>1870</v>
      </c>
      <c r="Q34" s="9">
        <v>1681</v>
      </c>
      <c r="R34" s="10">
        <v>2228</v>
      </c>
      <c r="S34" s="10">
        <v>2378</v>
      </c>
      <c r="T34" s="10">
        <v>2293</v>
      </c>
      <c r="U34" s="10">
        <v>2909</v>
      </c>
      <c r="V34" s="10">
        <v>2864</v>
      </c>
      <c r="AN34" s="9"/>
    </row>
    <row r="35" spans="1:40" ht="12.75">
      <c r="A35" s="5"/>
      <c r="B35" s="9">
        <f aca="true" t="shared" si="0" ref="B35:V35">B29-SUM(B30:B34)</f>
        <v>-1</v>
      </c>
      <c r="C35" s="9">
        <f t="shared" si="0"/>
        <v>0</v>
      </c>
      <c r="D35" s="9">
        <f t="shared" si="0"/>
        <v>1</v>
      </c>
      <c r="E35" s="9">
        <f t="shared" si="0"/>
        <v>-1</v>
      </c>
      <c r="F35" s="9">
        <f t="shared" si="0"/>
        <v>0</v>
      </c>
      <c r="G35" s="9">
        <f t="shared" si="0"/>
        <v>-1</v>
      </c>
      <c r="H35" s="9">
        <f t="shared" si="0"/>
        <v>-1</v>
      </c>
      <c r="I35" s="9">
        <f t="shared" si="0"/>
        <v>0</v>
      </c>
      <c r="J35" s="9">
        <f t="shared" si="0"/>
        <v>0</v>
      </c>
      <c r="K35" s="9">
        <f t="shared" si="0"/>
        <v>0</v>
      </c>
      <c r="L35" s="9">
        <f t="shared" si="0"/>
        <v>1</v>
      </c>
      <c r="M35" s="9">
        <f t="shared" si="0"/>
        <v>-1</v>
      </c>
      <c r="N35" s="9">
        <f t="shared" si="0"/>
        <v>0</v>
      </c>
      <c r="O35" s="9">
        <f t="shared" si="0"/>
        <v>-1</v>
      </c>
      <c r="P35" s="9">
        <f t="shared" si="0"/>
        <v>1</v>
      </c>
      <c r="Q35" s="9">
        <f t="shared" si="0"/>
        <v>-1</v>
      </c>
      <c r="R35" s="9">
        <f t="shared" si="0"/>
        <v>0</v>
      </c>
      <c r="S35" s="9">
        <f t="shared" si="0"/>
        <v>0</v>
      </c>
      <c r="T35" s="9">
        <f t="shared" si="0"/>
        <v>0</v>
      </c>
      <c r="U35" s="9">
        <f t="shared" si="0"/>
        <v>0</v>
      </c>
      <c r="V35" s="9">
        <f t="shared" si="0"/>
        <v>-1</v>
      </c>
      <c r="AN35" s="9"/>
    </row>
    <row r="36" spans="1:22" s="31" customFormat="1" ht="12.75">
      <c r="A36" s="3" t="s">
        <v>395</v>
      </c>
      <c r="B36" s="31">
        <v>0.058</v>
      </c>
      <c r="C36" s="31">
        <v>0.06</v>
      </c>
      <c r="D36" s="31">
        <v>0.054</v>
      </c>
      <c r="E36" s="31">
        <v>0.055</v>
      </c>
      <c r="F36" s="31">
        <v>0.054</v>
      </c>
      <c r="G36" s="31">
        <v>0.054</v>
      </c>
      <c r="H36" s="31">
        <v>0.055</v>
      </c>
      <c r="I36" s="31">
        <v>0.051</v>
      </c>
      <c r="J36" s="31">
        <v>0.053</v>
      </c>
      <c r="K36" s="31">
        <v>0.059</v>
      </c>
      <c r="L36" s="31">
        <v>0.072</v>
      </c>
      <c r="M36" s="31">
        <v>0.08</v>
      </c>
      <c r="N36" s="31">
        <v>0.072</v>
      </c>
      <c r="O36" s="31">
        <v>0.074</v>
      </c>
      <c r="P36" s="31">
        <v>0.073</v>
      </c>
      <c r="Q36" s="31">
        <v>0.072</v>
      </c>
      <c r="R36" s="61">
        <v>0.078</v>
      </c>
      <c r="S36" s="61">
        <v>0.073</v>
      </c>
      <c r="T36" s="61">
        <v>0.078</v>
      </c>
      <c r="U36" s="61">
        <v>0.096</v>
      </c>
      <c r="V36" s="61">
        <v>0.098</v>
      </c>
    </row>
    <row r="37" spans="1:22" ht="12.75">
      <c r="A37" s="2"/>
      <c r="R37" s="10"/>
      <c r="S37" s="10"/>
      <c r="T37" s="10"/>
      <c r="U37" s="10"/>
      <c r="V37" s="10"/>
    </row>
    <row r="38" ht="12.75">
      <c r="A38" s="18" t="s">
        <v>268</v>
      </c>
    </row>
    <row r="39" spans="1:22" ht="12.75">
      <c r="A39" s="4" t="s">
        <v>72</v>
      </c>
      <c r="B39" s="9">
        <v>44653</v>
      </c>
      <c r="C39" s="9">
        <v>45784</v>
      </c>
      <c r="D39" s="9">
        <v>46867</v>
      </c>
      <c r="E39" s="9">
        <v>47904</v>
      </c>
      <c r="F39" s="9">
        <v>48765</v>
      </c>
      <c r="G39" s="9">
        <v>50283</v>
      </c>
      <c r="H39" s="9">
        <v>51411</v>
      </c>
      <c r="I39" s="9">
        <v>52516</v>
      </c>
      <c r="J39" s="9">
        <v>54342</v>
      </c>
      <c r="K39" s="9">
        <v>54724</v>
      </c>
      <c r="L39" s="9">
        <v>56145</v>
      </c>
      <c r="M39" s="9">
        <v>58164</v>
      </c>
      <c r="N39" s="9">
        <v>59916</v>
      </c>
      <c r="O39" s="9">
        <v>59796</v>
      </c>
      <c r="P39" s="9">
        <v>61252</v>
      </c>
      <c r="Q39" s="9">
        <v>63544</v>
      </c>
      <c r="R39" s="10">
        <v>65487</v>
      </c>
      <c r="S39" s="10">
        <v>68796</v>
      </c>
      <c r="T39" s="10">
        <v>72265</v>
      </c>
      <c r="U39" s="10">
        <v>72238</v>
      </c>
      <c r="V39" s="10">
        <v>74931</v>
      </c>
    </row>
    <row r="40" spans="1:22" ht="12.75">
      <c r="A40" s="4" t="s">
        <v>74</v>
      </c>
      <c r="B40" s="9">
        <v>24684</v>
      </c>
      <c r="C40" s="9">
        <v>25046</v>
      </c>
      <c r="D40" s="9">
        <v>25656</v>
      </c>
      <c r="E40" s="9">
        <v>26101</v>
      </c>
      <c r="F40" s="9">
        <v>26515</v>
      </c>
      <c r="G40" s="9">
        <v>26884</v>
      </c>
      <c r="H40" s="9">
        <v>27160</v>
      </c>
      <c r="I40" s="9">
        <v>27556</v>
      </c>
      <c r="J40" s="9">
        <v>28833</v>
      </c>
      <c r="K40" s="9">
        <v>29914</v>
      </c>
      <c r="L40" s="9">
        <v>32280</v>
      </c>
      <c r="M40" s="9">
        <v>32724</v>
      </c>
      <c r="N40" s="9">
        <v>33767</v>
      </c>
      <c r="O40" s="9">
        <v>33351</v>
      </c>
      <c r="P40" s="9">
        <v>33472</v>
      </c>
      <c r="Q40" s="9">
        <v>34150</v>
      </c>
      <c r="R40" s="10">
        <v>34000</v>
      </c>
      <c r="S40" s="10">
        <v>34007</v>
      </c>
      <c r="T40" s="10">
        <v>33996</v>
      </c>
      <c r="U40" s="10">
        <v>33604</v>
      </c>
      <c r="V40" s="10">
        <v>33940</v>
      </c>
    </row>
    <row r="41" spans="1:22" ht="12.75">
      <c r="A41" s="4" t="s">
        <v>73</v>
      </c>
      <c r="B41" s="31">
        <v>0.644</v>
      </c>
      <c r="C41" s="31">
        <v>0.646</v>
      </c>
      <c r="D41" s="36">
        <v>0.646</v>
      </c>
      <c r="E41" s="31">
        <v>0.647</v>
      </c>
      <c r="F41" s="31">
        <v>0.648</v>
      </c>
      <c r="G41" s="31">
        <v>0.652</v>
      </c>
      <c r="H41" s="31">
        <v>0.654</v>
      </c>
      <c r="I41" s="31">
        <v>0.656</v>
      </c>
      <c r="J41" s="31">
        <v>0.653</v>
      </c>
      <c r="K41" s="31">
        <v>0.647</v>
      </c>
      <c r="L41" s="31">
        <v>0.635</v>
      </c>
      <c r="M41" s="35">
        <v>0.6399524689728017</v>
      </c>
      <c r="N41" s="35">
        <v>0.6395610729801565</v>
      </c>
      <c r="O41" s="35">
        <v>0.6419530419659248</v>
      </c>
      <c r="P41" s="35">
        <v>0.6466365440648622</v>
      </c>
      <c r="Q41" s="35">
        <v>0.6504457842424739</v>
      </c>
      <c r="R41" s="35">
        <v>0.6582468061153719</v>
      </c>
      <c r="S41" s="35">
        <v>0.6692022606344172</v>
      </c>
      <c r="T41" s="35">
        <v>0.6800707691439004</v>
      </c>
      <c r="U41" s="35">
        <v>0.6825078891177415</v>
      </c>
      <c r="V41" s="35">
        <v>0.6882549071837312</v>
      </c>
    </row>
    <row r="42" spans="1:22" ht="12.75">
      <c r="A42" s="16" t="s">
        <v>82</v>
      </c>
      <c r="R42" s="10"/>
      <c r="S42" s="10"/>
      <c r="T42" s="10"/>
      <c r="U42" s="10"/>
      <c r="V42" s="10"/>
    </row>
    <row r="43" spans="1:40" ht="12.75">
      <c r="A43" s="3" t="s">
        <v>78</v>
      </c>
      <c r="B43" s="14" t="s">
        <v>242</v>
      </c>
      <c r="C43" s="9">
        <v>51325</v>
      </c>
      <c r="D43" s="9">
        <v>52294</v>
      </c>
      <c r="E43" s="9">
        <v>53074</v>
      </c>
      <c r="F43" s="9">
        <v>53699</v>
      </c>
      <c r="G43" s="9">
        <v>54877</v>
      </c>
      <c r="H43" s="9">
        <v>55491</v>
      </c>
      <c r="I43" s="9">
        <v>56015</v>
      </c>
      <c r="J43" s="9">
        <v>58026</v>
      </c>
      <c r="K43" s="9">
        <v>58654</v>
      </c>
      <c r="L43" s="9">
        <v>66230</v>
      </c>
      <c r="M43" s="1">
        <v>67744</v>
      </c>
      <c r="N43" s="1">
        <v>69293</v>
      </c>
      <c r="O43" s="1">
        <v>68497</v>
      </c>
      <c r="P43" s="1">
        <v>69090</v>
      </c>
      <c r="Q43" s="1">
        <v>70683</v>
      </c>
      <c r="R43" s="9">
        <v>71317</v>
      </c>
      <c r="S43" s="9">
        <v>73259</v>
      </c>
      <c r="T43" s="9">
        <v>79146</v>
      </c>
      <c r="U43" s="9">
        <v>78369</v>
      </c>
      <c r="V43" s="9">
        <v>81258</v>
      </c>
      <c r="AN43" s="9"/>
    </row>
    <row r="44" spans="1:40" ht="12.75">
      <c r="A44" s="3" t="s">
        <v>79</v>
      </c>
      <c r="B44" s="14" t="s">
        <v>242</v>
      </c>
      <c r="C44" s="9">
        <v>19505</v>
      </c>
      <c r="D44" s="9">
        <v>20229</v>
      </c>
      <c r="E44" s="9">
        <v>20931</v>
      </c>
      <c r="F44" s="9">
        <v>21581</v>
      </c>
      <c r="G44" s="9">
        <v>22290</v>
      </c>
      <c r="H44" s="9">
        <v>23080</v>
      </c>
      <c r="I44" s="9">
        <v>24056</v>
      </c>
      <c r="J44" s="9">
        <v>25149</v>
      </c>
      <c r="K44" s="9">
        <v>25984</v>
      </c>
      <c r="L44" s="9">
        <v>22195</v>
      </c>
      <c r="M44" s="1">
        <v>23143</v>
      </c>
      <c r="N44" s="1">
        <v>24390</v>
      </c>
      <c r="O44" s="1">
        <v>24650</v>
      </c>
      <c r="P44" s="1">
        <v>25633</v>
      </c>
      <c r="Q44" s="1">
        <v>27010</v>
      </c>
      <c r="R44" s="9">
        <v>28170</v>
      </c>
      <c r="S44" s="9">
        <v>29544</v>
      </c>
      <c r="T44" s="9">
        <v>27115</v>
      </c>
      <c r="U44" s="9">
        <v>27474</v>
      </c>
      <c r="V44" s="9">
        <v>27613</v>
      </c>
      <c r="AN44" s="9"/>
    </row>
    <row r="45" spans="1:22" ht="12.75">
      <c r="A45" s="2"/>
      <c r="R45" s="10"/>
      <c r="S45" s="10"/>
      <c r="T45" s="10"/>
      <c r="U45" s="10"/>
      <c r="V45" s="10"/>
    </row>
    <row r="46" spans="1:22" ht="12.75">
      <c r="A46" s="17" t="s">
        <v>83</v>
      </c>
      <c r="R46" s="10"/>
      <c r="S46" s="10"/>
      <c r="T46" s="10"/>
      <c r="U46" s="10"/>
      <c r="V46" s="10"/>
    </row>
    <row r="47" spans="1:22" ht="12.75">
      <c r="A47" s="2"/>
      <c r="R47" s="10"/>
      <c r="S47" s="10"/>
      <c r="T47" s="10"/>
      <c r="U47" s="10"/>
      <c r="V47" s="10"/>
    </row>
    <row r="48" spans="1:22" ht="12.75">
      <c r="A48" s="2" t="s">
        <v>151</v>
      </c>
      <c r="R48" s="10"/>
      <c r="S48" s="10"/>
      <c r="T48" s="10"/>
      <c r="U48" s="10"/>
      <c r="V48" s="10"/>
    </row>
    <row r="49" spans="1:40" ht="12.75">
      <c r="A49" s="2" t="s">
        <v>2</v>
      </c>
      <c r="B49" s="9">
        <v>47953</v>
      </c>
      <c r="C49" s="9">
        <v>48235</v>
      </c>
      <c r="D49" s="9">
        <v>49489</v>
      </c>
      <c r="E49" s="9">
        <v>50475</v>
      </c>
      <c r="F49" s="9">
        <v>51228</v>
      </c>
      <c r="G49" s="9">
        <v>52376</v>
      </c>
      <c r="H49" s="9">
        <v>53879</v>
      </c>
      <c r="I49" s="9">
        <v>54826</v>
      </c>
      <c r="J49" s="9">
        <v>56772</v>
      </c>
      <c r="K49" s="9">
        <v>57029</v>
      </c>
      <c r="L49" s="9">
        <v>58773</v>
      </c>
      <c r="M49" s="9">
        <v>60034</v>
      </c>
      <c r="N49" s="9">
        <v>61886</v>
      </c>
      <c r="O49" s="9">
        <v>61009</v>
      </c>
      <c r="P49" s="9">
        <v>62475</v>
      </c>
      <c r="Q49" s="9">
        <v>64365</v>
      </c>
      <c r="R49" s="9">
        <v>66278</v>
      </c>
      <c r="S49" s="9">
        <v>68600</v>
      </c>
      <c r="T49" s="9">
        <v>71527</v>
      </c>
      <c r="U49" s="9">
        <v>72882</v>
      </c>
      <c r="V49" s="9">
        <v>75416</v>
      </c>
      <c r="AN49" s="9"/>
    </row>
    <row r="50" spans="1:40" ht="12.75">
      <c r="A50" s="2" t="s">
        <v>3</v>
      </c>
      <c r="B50" s="9">
        <v>3334</v>
      </c>
      <c r="C50" s="9">
        <v>3049</v>
      </c>
      <c r="D50" s="9">
        <v>3129</v>
      </c>
      <c r="E50" s="9">
        <v>3136</v>
      </c>
      <c r="F50" s="9">
        <v>3105</v>
      </c>
      <c r="G50" s="9">
        <v>3147</v>
      </c>
      <c r="H50" s="9">
        <v>3401</v>
      </c>
      <c r="I50" s="9">
        <v>3429</v>
      </c>
      <c r="J50" s="9">
        <v>3691</v>
      </c>
      <c r="K50" s="9">
        <v>4453</v>
      </c>
      <c r="L50" s="9">
        <v>4451</v>
      </c>
      <c r="M50" s="9">
        <v>5422</v>
      </c>
      <c r="N50" s="9">
        <v>5583</v>
      </c>
      <c r="O50" s="9">
        <v>6082</v>
      </c>
      <c r="P50" s="9">
        <v>5965</v>
      </c>
      <c r="Q50" s="9">
        <v>6172</v>
      </c>
      <c r="R50" s="9">
        <v>6622</v>
      </c>
      <c r="S50" s="9">
        <v>7827</v>
      </c>
      <c r="T50" s="9">
        <v>8261</v>
      </c>
      <c r="U50" s="9">
        <v>7023</v>
      </c>
      <c r="V50" s="9">
        <v>6849</v>
      </c>
      <c r="AN50" s="9"/>
    </row>
    <row r="51" spans="1:40" ht="12.75">
      <c r="A51" s="2" t="s">
        <v>4</v>
      </c>
      <c r="B51" s="9">
        <v>9639</v>
      </c>
      <c r="C51" s="9">
        <v>9446</v>
      </c>
      <c r="D51" s="9">
        <v>9802</v>
      </c>
      <c r="E51" s="9">
        <v>10189</v>
      </c>
      <c r="F51" s="9">
        <v>10419</v>
      </c>
      <c r="G51" s="9">
        <v>10754</v>
      </c>
      <c r="H51" s="9">
        <v>10785</v>
      </c>
      <c r="I51" s="9">
        <v>10816</v>
      </c>
      <c r="J51" s="9">
        <v>11036</v>
      </c>
      <c r="K51" s="9">
        <v>11373</v>
      </c>
      <c r="L51" s="9">
        <v>11521</v>
      </c>
      <c r="M51" s="9">
        <v>10831</v>
      </c>
      <c r="N51" s="9">
        <v>11164</v>
      </c>
      <c r="O51" s="9">
        <v>10800</v>
      </c>
      <c r="P51" s="9">
        <v>10606</v>
      </c>
      <c r="Q51" s="9">
        <v>10576</v>
      </c>
      <c r="R51" s="9">
        <v>10234</v>
      </c>
      <c r="S51" s="9">
        <v>9802</v>
      </c>
      <c r="T51" s="9">
        <v>9249</v>
      </c>
      <c r="U51" s="9">
        <v>9863</v>
      </c>
      <c r="V51" s="9">
        <v>9883</v>
      </c>
      <c r="AN51" s="9"/>
    </row>
    <row r="52" spans="1:40" ht="12.75">
      <c r="A52" s="2" t="s">
        <v>5</v>
      </c>
      <c r="L52" s="9">
        <v>5061</v>
      </c>
      <c r="M52" s="9">
        <v>5295</v>
      </c>
      <c r="N52" s="9">
        <v>5500</v>
      </c>
      <c r="O52" s="9">
        <v>5312</v>
      </c>
      <c r="P52" s="9">
        <v>5445</v>
      </c>
      <c r="Q52" s="9">
        <v>5492</v>
      </c>
      <c r="R52" s="9">
        <v>5579</v>
      </c>
      <c r="S52" s="9">
        <v>5533</v>
      </c>
      <c r="T52" s="9">
        <v>5619</v>
      </c>
      <c r="U52" s="9">
        <v>5938</v>
      </c>
      <c r="V52" s="9">
        <v>5948</v>
      </c>
      <c r="AN52" s="9"/>
    </row>
    <row r="53" spans="1:40" ht="12.75">
      <c r="A53" s="2" t="s">
        <v>6</v>
      </c>
      <c r="L53" s="9">
        <v>4459</v>
      </c>
      <c r="M53" s="9">
        <v>4709</v>
      </c>
      <c r="N53" s="9">
        <v>4853</v>
      </c>
      <c r="O53" s="9">
        <v>4694</v>
      </c>
      <c r="P53" s="9">
        <v>4923</v>
      </c>
      <c r="Q53" s="9">
        <v>4999</v>
      </c>
      <c r="R53" s="9">
        <v>4966</v>
      </c>
      <c r="S53" s="9">
        <v>5084</v>
      </c>
      <c r="T53" s="9">
        <v>5304</v>
      </c>
      <c r="U53" s="9">
        <v>5355</v>
      </c>
      <c r="V53" s="9">
        <v>5602</v>
      </c>
      <c r="AN53" s="9"/>
    </row>
    <row r="54" spans="1:40" ht="12.75">
      <c r="A54" s="5" t="s">
        <v>7</v>
      </c>
      <c r="L54" s="9">
        <v>3383</v>
      </c>
      <c r="M54" s="9">
        <v>3562</v>
      </c>
      <c r="N54" s="9">
        <v>3607</v>
      </c>
      <c r="O54" s="9">
        <v>3655</v>
      </c>
      <c r="P54" s="9">
        <v>3720</v>
      </c>
      <c r="Q54" s="9">
        <v>3827</v>
      </c>
      <c r="R54" s="9">
        <v>3801</v>
      </c>
      <c r="S54" s="9">
        <v>3848</v>
      </c>
      <c r="T54" s="9">
        <v>3833</v>
      </c>
      <c r="U54" s="9">
        <v>3848</v>
      </c>
      <c r="V54" s="9">
        <v>4277</v>
      </c>
      <c r="AN54" s="9"/>
    </row>
    <row r="55" spans="1:40" ht="12.75">
      <c r="A55" s="5" t="s">
        <v>8</v>
      </c>
      <c r="L55" s="9">
        <v>3704</v>
      </c>
      <c r="M55" s="9">
        <v>3878</v>
      </c>
      <c r="N55" s="9">
        <v>3959</v>
      </c>
      <c r="O55" s="9">
        <v>3975</v>
      </c>
      <c r="P55" s="9">
        <v>3979</v>
      </c>
      <c r="Q55" s="9">
        <v>4085</v>
      </c>
      <c r="R55" s="9">
        <v>4139</v>
      </c>
      <c r="S55" s="9">
        <v>3813</v>
      </c>
      <c r="T55" s="9">
        <v>3995</v>
      </c>
      <c r="U55" s="9">
        <v>4160</v>
      </c>
      <c r="V55" s="9">
        <v>4571</v>
      </c>
      <c r="AN55" s="9"/>
    </row>
    <row r="56" spans="1:40" ht="12.75">
      <c r="A56" s="13" t="s">
        <v>138</v>
      </c>
      <c r="B56" s="10">
        <v>11089</v>
      </c>
      <c r="C56" s="10">
        <v>11441</v>
      </c>
      <c r="D56" s="9">
        <v>11792</v>
      </c>
      <c r="E56" s="10">
        <v>11888</v>
      </c>
      <c r="F56" s="10">
        <v>12271</v>
      </c>
      <c r="G56" s="10">
        <v>12885</v>
      </c>
      <c r="H56" s="10">
        <v>12910</v>
      </c>
      <c r="I56" s="10">
        <v>13183</v>
      </c>
      <c r="J56" s="10">
        <v>14240</v>
      </c>
      <c r="K56" s="10">
        <v>14820</v>
      </c>
      <c r="L56" s="10">
        <v>16607</v>
      </c>
      <c r="M56" s="10">
        <v>17444</v>
      </c>
      <c r="N56" s="10">
        <v>17919</v>
      </c>
      <c r="O56" s="10">
        <v>17636</v>
      </c>
      <c r="P56" s="10">
        <v>18067</v>
      </c>
      <c r="Q56" s="10">
        <v>18403</v>
      </c>
      <c r="R56" s="10">
        <v>18485</v>
      </c>
      <c r="S56" s="10">
        <v>18278</v>
      </c>
      <c r="T56" s="10">
        <v>18751</v>
      </c>
      <c r="U56" s="10">
        <v>19301</v>
      </c>
      <c r="V56" s="10">
        <v>20398</v>
      </c>
      <c r="AN56" s="9"/>
    </row>
    <row r="57" spans="1:40" ht="12.75">
      <c r="A57" s="2" t="s">
        <v>9</v>
      </c>
      <c r="B57" s="9">
        <v>3278</v>
      </c>
      <c r="C57" s="9">
        <v>3715</v>
      </c>
      <c r="D57" s="9">
        <v>3342</v>
      </c>
      <c r="E57" s="9">
        <v>3627</v>
      </c>
      <c r="F57" s="9">
        <v>3693</v>
      </c>
      <c r="G57" s="9">
        <v>3671</v>
      </c>
      <c r="H57" s="9">
        <v>3610</v>
      </c>
      <c r="I57" s="9">
        <v>3770</v>
      </c>
      <c r="J57" s="9">
        <v>3871</v>
      </c>
      <c r="K57" s="9">
        <v>3999</v>
      </c>
      <c r="L57" s="9">
        <v>5396</v>
      </c>
      <c r="M57" s="9">
        <v>6084</v>
      </c>
      <c r="N57" s="9">
        <v>6228</v>
      </c>
      <c r="O57" s="9">
        <v>6338</v>
      </c>
      <c r="P57" s="9">
        <v>6409</v>
      </c>
      <c r="Q57" s="9">
        <v>6886</v>
      </c>
      <c r="R57" s="9">
        <v>7572</v>
      </c>
      <c r="S57" s="9">
        <v>7784</v>
      </c>
      <c r="T57" s="9">
        <v>8249</v>
      </c>
      <c r="U57" s="9">
        <v>8142</v>
      </c>
      <c r="V57" s="9">
        <v>7986</v>
      </c>
      <c r="AN57" s="9"/>
    </row>
    <row r="58" spans="1:22" ht="12.75">
      <c r="A58" s="2"/>
      <c r="R58" s="10"/>
      <c r="S58" s="10"/>
      <c r="T58" s="10"/>
      <c r="U58" s="10"/>
      <c r="V58" s="10"/>
    </row>
    <row r="59" spans="1:22" ht="12.75">
      <c r="A59" s="2" t="s">
        <v>152</v>
      </c>
      <c r="R59" s="10"/>
      <c r="S59" s="10"/>
      <c r="T59" s="10"/>
      <c r="U59" s="10"/>
      <c r="V59" s="10"/>
    </row>
    <row r="60" spans="1:41" ht="12.75">
      <c r="A60" s="3" t="s">
        <v>77</v>
      </c>
      <c r="B60" s="14" t="s">
        <v>242</v>
      </c>
      <c r="C60" s="14" t="s">
        <v>242</v>
      </c>
      <c r="D60" s="14" t="s">
        <v>242</v>
      </c>
      <c r="E60" s="14" t="s">
        <v>242</v>
      </c>
      <c r="F60" s="14" t="s">
        <v>242</v>
      </c>
      <c r="G60" s="14" t="s">
        <v>242</v>
      </c>
      <c r="H60" s="14" t="s">
        <v>242</v>
      </c>
      <c r="I60" s="14" t="s">
        <v>242</v>
      </c>
      <c r="J60" s="14" t="s">
        <v>242</v>
      </c>
      <c r="K60" s="14" t="s">
        <v>242</v>
      </c>
      <c r="L60" s="14" t="s">
        <v>242</v>
      </c>
      <c r="M60" s="14" t="s">
        <v>242</v>
      </c>
      <c r="N60" s="14" t="s">
        <v>242</v>
      </c>
      <c r="O60" s="14" t="s">
        <v>242</v>
      </c>
      <c r="P60" s="14" t="s">
        <v>242</v>
      </c>
      <c r="Q60" s="14" t="s">
        <v>242</v>
      </c>
      <c r="R60" s="9" t="s">
        <v>242</v>
      </c>
      <c r="S60" s="9" t="s">
        <v>242</v>
      </c>
      <c r="T60" s="9" t="s">
        <v>242</v>
      </c>
      <c r="U60" s="9" t="s">
        <v>242</v>
      </c>
      <c r="V60" s="9">
        <v>923</v>
      </c>
      <c r="AN60" s="9"/>
      <c r="AO60" s="9"/>
    </row>
    <row r="61" spans="1:41" ht="12.75">
      <c r="A61" s="2" t="s">
        <v>10</v>
      </c>
      <c r="B61" s="14" t="s">
        <v>242</v>
      </c>
      <c r="C61" s="14" t="s">
        <v>242</v>
      </c>
      <c r="D61" s="14" t="s">
        <v>242</v>
      </c>
      <c r="E61" s="14" t="s">
        <v>242</v>
      </c>
      <c r="F61" s="14" t="s">
        <v>242</v>
      </c>
      <c r="G61" s="14" t="s">
        <v>242</v>
      </c>
      <c r="H61" s="14" t="s">
        <v>242</v>
      </c>
      <c r="I61" s="14" t="s">
        <v>242</v>
      </c>
      <c r="J61" s="14" t="s">
        <v>242</v>
      </c>
      <c r="K61" s="14" t="s">
        <v>242</v>
      </c>
      <c r="L61" s="14" t="s">
        <v>242</v>
      </c>
      <c r="M61" s="14" t="s">
        <v>242</v>
      </c>
      <c r="N61" s="14" t="s">
        <v>242</v>
      </c>
      <c r="O61" s="14" t="s">
        <v>242</v>
      </c>
      <c r="P61" s="14" t="s">
        <v>242</v>
      </c>
      <c r="Q61" s="14" t="s">
        <v>242</v>
      </c>
      <c r="R61" s="9" t="s">
        <v>242</v>
      </c>
      <c r="S61" s="9" t="s">
        <v>242</v>
      </c>
      <c r="T61" s="9">
        <v>3045</v>
      </c>
      <c r="U61" s="9">
        <v>6036</v>
      </c>
      <c r="V61" s="9">
        <v>8894</v>
      </c>
      <c r="AN61" s="9"/>
      <c r="AO61" s="9"/>
    </row>
    <row r="62" spans="1:41" ht="12.75">
      <c r="A62" s="2" t="s">
        <v>11</v>
      </c>
      <c r="B62" s="14" t="s">
        <v>242</v>
      </c>
      <c r="C62" s="14" t="s">
        <v>242</v>
      </c>
      <c r="D62" s="14" t="s">
        <v>242</v>
      </c>
      <c r="E62" s="14" t="s">
        <v>242</v>
      </c>
      <c r="F62" s="14" t="s">
        <v>242</v>
      </c>
      <c r="G62" s="14" t="s">
        <v>242</v>
      </c>
      <c r="H62" s="14" t="s">
        <v>242</v>
      </c>
      <c r="I62" s="14" t="s">
        <v>242</v>
      </c>
      <c r="J62" s="14" t="s">
        <v>242</v>
      </c>
      <c r="K62" s="14" t="s">
        <v>242</v>
      </c>
      <c r="L62" s="14" t="s">
        <v>242</v>
      </c>
      <c r="M62" s="14" t="s">
        <v>242</v>
      </c>
      <c r="N62" s="14" t="s">
        <v>242</v>
      </c>
      <c r="O62" s="14" t="s">
        <v>242</v>
      </c>
      <c r="P62" s="14" t="s">
        <v>242</v>
      </c>
      <c r="Q62" s="9">
        <v>957</v>
      </c>
      <c r="R62" s="9">
        <v>4518</v>
      </c>
      <c r="S62" s="9">
        <v>8190</v>
      </c>
      <c r="T62" s="9">
        <v>8685</v>
      </c>
      <c r="U62" s="9">
        <v>8624</v>
      </c>
      <c r="V62" s="9">
        <v>8572</v>
      </c>
      <c r="AN62" s="9"/>
      <c r="AO62" s="9"/>
    </row>
    <row r="63" spans="1:41" ht="12.75">
      <c r="A63" s="2" t="s">
        <v>12</v>
      </c>
      <c r="B63" s="14" t="s">
        <v>242</v>
      </c>
      <c r="C63" s="14" t="s">
        <v>242</v>
      </c>
      <c r="D63" s="14" t="s">
        <v>242</v>
      </c>
      <c r="E63" s="14" t="s">
        <v>242</v>
      </c>
      <c r="F63" s="14" t="s">
        <v>242</v>
      </c>
      <c r="G63" s="14" t="s">
        <v>242</v>
      </c>
      <c r="H63" s="14" t="s">
        <v>242</v>
      </c>
      <c r="I63" s="14" t="s">
        <v>242</v>
      </c>
      <c r="J63" s="14" t="s">
        <v>242</v>
      </c>
      <c r="K63" s="14" t="s">
        <v>242</v>
      </c>
      <c r="L63" s="14" t="s">
        <v>242</v>
      </c>
      <c r="M63" s="14" t="s">
        <v>242</v>
      </c>
      <c r="N63" s="9">
        <v>3</v>
      </c>
      <c r="O63" s="9">
        <v>2346</v>
      </c>
      <c r="P63" s="9">
        <v>5034</v>
      </c>
      <c r="Q63" s="9">
        <v>7452</v>
      </c>
      <c r="R63" s="9">
        <v>7030</v>
      </c>
      <c r="S63" s="9">
        <v>7025</v>
      </c>
      <c r="T63" s="9">
        <v>7031</v>
      </c>
      <c r="U63" s="9">
        <v>6928</v>
      </c>
      <c r="V63" s="9">
        <v>6946</v>
      </c>
      <c r="AN63" s="9"/>
      <c r="AO63" s="9"/>
    </row>
    <row r="64" spans="1:41" ht="12.75">
      <c r="A64" s="2" t="s">
        <v>13</v>
      </c>
      <c r="B64" s="14" t="s">
        <v>242</v>
      </c>
      <c r="C64" s="14" t="s">
        <v>242</v>
      </c>
      <c r="D64" s="14" t="s">
        <v>242</v>
      </c>
      <c r="E64" s="14" t="s">
        <v>242</v>
      </c>
      <c r="F64" s="14" t="s">
        <v>242</v>
      </c>
      <c r="G64" s="14" t="s">
        <v>242</v>
      </c>
      <c r="H64" s="14" t="s">
        <v>242</v>
      </c>
      <c r="I64" s="14" t="s">
        <v>242</v>
      </c>
      <c r="J64" s="14" t="s">
        <v>242</v>
      </c>
      <c r="K64" s="14" t="s">
        <v>242</v>
      </c>
      <c r="L64" s="9">
        <v>1488</v>
      </c>
      <c r="M64" s="9">
        <v>5246</v>
      </c>
      <c r="N64" s="9">
        <v>8891</v>
      </c>
      <c r="O64" s="9">
        <v>8794</v>
      </c>
      <c r="P64" s="9">
        <v>8714</v>
      </c>
      <c r="Q64" s="9">
        <v>8786</v>
      </c>
      <c r="R64" s="9">
        <v>8704</v>
      </c>
      <c r="S64" s="9">
        <v>8681</v>
      </c>
      <c r="T64" s="9">
        <v>8678</v>
      </c>
      <c r="U64" s="9">
        <v>8627</v>
      </c>
      <c r="V64" s="9">
        <v>8638</v>
      </c>
      <c r="AN64" s="9"/>
      <c r="AO64" s="9"/>
    </row>
    <row r="65" spans="1:41" ht="12.75">
      <c r="A65" s="2" t="s">
        <v>14</v>
      </c>
      <c r="B65" s="14" t="s">
        <v>242</v>
      </c>
      <c r="C65" s="14" t="s">
        <v>242</v>
      </c>
      <c r="D65" s="14" t="s">
        <v>242</v>
      </c>
      <c r="E65" s="14" t="s">
        <v>242</v>
      </c>
      <c r="F65" s="14" t="s">
        <v>242</v>
      </c>
      <c r="G65" s="14" t="s">
        <v>242</v>
      </c>
      <c r="H65" s="14" t="s">
        <v>242</v>
      </c>
      <c r="I65" s="14"/>
      <c r="J65" s="14"/>
      <c r="K65" s="14"/>
      <c r="L65" s="9">
        <v>8172</v>
      </c>
      <c r="M65" s="9">
        <v>8087</v>
      </c>
      <c r="N65" s="9">
        <v>7983</v>
      </c>
      <c r="O65" s="9">
        <v>8061</v>
      </c>
      <c r="P65" s="9">
        <v>7948</v>
      </c>
      <c r="Q65" s="9">
        <v>8000</v>
      </c>
      <c r="R65" s="9">
        <v>7536</v>
      </c>
      <c r="S65" s="9">
        <v>7415</v>
      </c>
      <c r="T65" s="9">
        <v>7467</v>
      </c>
      <c r="U65" s="9">
        <v>7365</v>
      </c>
      <c r="V65" s="9">
        <v>7241</v>
      </c>
      <c r="AN65" s="9"/>
      <c r="AO65" s="9"/>
    </row>
    <row r="66" spans="1:41" ht="12.75">
      <c r="A66" s="2" t="s">
        <v>15</v>
      </c>
      <c r="B66" s="14" t="s">
        <v>242</v>
      </c>
      <c r="C66" s="14" t="s">
        <v>242</v>
      </c>
      <c r="D66" s="14"/>
      <c r="E66" s="14"/>
      <c r="F66" s="14"/>
      <c r="G66" s="14"/>
      <c r="H66" s="14"/>
      <c r="I66" s="14"/>
      <c r="J66" s="14"/>
      <c r="K66" s="14"/>
      <c r="L66" s="9">
        <v>13981</v>
      </c>
      <c r="M66" s="9">
        <v>12485</v>
      </c>
      <c r="N66" s="9">
        <v>12486</v>
      </c>
      <c r="O66" s="9">
        <v>11834</v>
      </c>
      <c r="P66" s="9">
        <v>11542</v>
      </c>
      <c r="Q66" s="9">
        <v>11992</v>
      </c>
      <c r="R66" s="9">
        <v>11340</v>
      </c>
      <c r="S66" s="9">
        <v>11429</v>
      </c>
      <c r="T66" s="9">
        <v>11729</v>
      </c>
      <c r="U66" s="9">
        <v>11927</v>
      </c>
      <c r="V66" s="9">
        <v>13941</v>
      </c>
      <c r="AN66" s="9"/>
      <c r="AO66" s="9"/>
    </row>
    <row r="67" spans="1:41" ht="12.75">
      <c r="A67" s="2" t="s">
        <v>16</v>
      </c>
      <c r="L67" s="9">
        <v>11520</v>
      </c>
      <c r="M67" s="9">
        <v>11592</v>
      </c>
      <c r="N67" s="9">
        <v>11396</v>
      </c>
      <c r="O67" s="9">
        <v>11074</v>
      </c>
      <c r="P67" s="9">
        <v>11073</v>
      </c>
      <c r="Q67" s="9">
        <v>10940</v>
      </c>
      <c r="R67" s="9">
        <v>11127</v>
      </c>
      <c r="S67" s="9">
        <v>11062</v>
      </c>
      <c r="T67" s="9">
        <v>11124</v>
      </c>
      <c r="U67" s="9">
        <v>10739</v>
      </c>
      <c r="V67" s="9">
        <v>10319</v>
      </c>
      <c r="AN67" s="9"/>
      <c r="AO67" s="9"/>
    </row>
    <row r="68" spans="1:41" ht="12.75">
      <c r="A68" s="17" t="s">
        <v>320</v>
      </c>
      <c r="B68" s="52">
        <v>7979</v>
      </c>
      <c r="C68" s="52">
        <v>9882</v>
      </c>
      <c r="D68" s="52">
        <v>11212</v>
      </c>
      <c r="E68" s="52">
        <v>12493</v>
      </c>
      <c r="F68" s="52">
        <v>14559</v>
      </c>
      <c r="G68" s="52">
        <v>16357</v>
      </c>
      <c r="H68" s="52">
        <v>18146</v>
      </c>
      <c r="I68" s="52">
        <v>19735</v>
      </c>
      <c r="J68" s="52">
        <v>21545</v>
      </c>
      <c r="K68" s="52">
        <v>23686</v>
      </c>
      <c r="L68" s="9">
        <f>SUM(L60:L67)</f>
        <v>35161</v>
      </c>
      <c r="M68" s="9">
        <f aca="true" t="shared" si="1" ref="M68:V68">SUM(M60:M67)</f>
        <v>37410</v>
      </c>
      <c r="N68" s="9">
        <f t="shared" si="1"/>
        <v>40759</v>
      </c>
      <c r="O68" s="9">
        <f t="shared" si="1"/>
        <v>42109</v>
      </c>
      <c r="P68" s="9">
        <f t="shared" si="1"/>
        <v>44311</v>
      </c>
      <c r="Q68" s="9">
        <f t="shared" si="1"/>
        <v>48127</v>
      </c>
      <c r="R68" s="9">
        <f t="shared" si="1"/>
        <v>50255</v>
      </c>
      <c r="S68" s="9">
        <f t="shared" si="1"/>
        <v>53802</v>
      </c>
      <c r="T68" s="9">
        <f t="shared" si="1"/>
        <v>57759</v>
      </c>
      <c r="U68" s="9">
        <f t="shared" si="1"/>
        <v>60246</v>
      </c>
      <c r="V68" s="9">
        <f t="shared" si="1"/>
        <v>65474</v>
      </c>
      <c r="W68" s="9">
        <f>V68-B68</f>
        <v>57495</v>
      </c>
      <c r="AN68" s="9"/>
      <c r="AO68" s="9"/>
    </row>
    <row r="69" spans="1:41" ht="12.75">
      <c r="A69" s="2" t="s">
        <v>17</v>
      </c>
      <c r="B69" s="52">
        <v>18089</v>
      </c>
      <c r="C69" s="52">
        <v>17161</v>
      </c>
      <c r="D69" s="52">
        <v>17891</v>
      </c>
      <c r="E69" s="52">
        <v>17674</v>
      </c>
      <c r="F69" s="52">
        <v>17452</v>
      </c>
      <c r="G69" s="52">
        <v>17497</v>
      </c>
      <c r="H69" s="52">
        <v>17592</v>
      </c>
      <c r="I69" s="52">
        <v>17624</v>
      </c>
      <c r="J69" s="52">
        <v>17993</v>
      </c>
      <c r="K69" s="52">
        <v>18144</v>
      </c>
      <c r="L69" s="9">
        <v>16025</v>
      </c>
      <c r="M69" s="9">
        <v>16296</v>
      </c>
      <c r="N69" s="9">
        <v>16296</v>
      </c>
      <c r="O69" s="9">
        <v>15693</v>
      </c>
      <c r="P69" s="9">
        <v>15532</v>
      </c>
      <c r="Q69" s="9">
        <v>15334</v>
      </c>
      <c r="R69" s="9">
        <v>15484</v>
      </c>
      <c r="S69" s="9">
        <v>15355</v>
      </c>
      <c r="T69" s="9">
        <v>15417</v>
      </c>
      <c r="U69" s="9">
        <v>15002</v>
      </c>
      <c r="V69" s="9">
        <v>14706</v>
      </c>
      <c r="W69" s="9">
        <f>V69-B69</f>
        <v>-3383</v>
      </c>
      <c r="X69" s="31">
        <f>W69/B69</f>
        <v>-0.18701973575100891</v>
      </c>
      <c r="AN69" s="9"/>
      <c r="AO69" s="9"/>
    </row>
    <row r="70" spans="1:41" ht="12.75">
      <c r="A70" s="2" t="s">
        <v>18</v>
      </c>
      <c r="B70" s="9">
        <v>13548</v>
      </c>
      <c r="C70" s="9">
        <v>13627</v>
      </c>
      <c r="D70" s="9">
        <v>13600</v>
      </c>
      <c r="E70" s="9">
        <v>13840</v>
      </c>
      <c r="F70" s="9">
        <v>13767</v>
      </c>
      <c r="G70" s="9">
        <v>13845</v>
      </c>
      <c r="H70" s="9">
        <v>13982</v>
      </c>
      <c r="I70" s="9">
        <v>14043</v>
      </c>
      <c r="J70" s="9">
        <v>14394</v>
      </c>
      <c r="K70" s="9">
        <v>14331</v>
      </c>
      <c r="L70" s="9">
        <v>13558</v>
      </c>
      <c r="M70" s="9">
        <v>13882</v>
      </c>
      <c r="N70" s="9">
        <v>13865</v>
      </c>
      <c r="O70" s="9">
        <v>13416</v>
      </c>
      <c r="P70" s="9">
        <v>13227</v>
      </c>
      <c r="Q70" s="9">
        <v>13198</v>
      </c>
      <c r="R70" s="9">
        <v>13412</v>
      </c>
      <c r="S70" s="9">
        <v>13213</v>
      </c>
      <c r="T70" s="9">
        <v>13413</v>
      </c>
      <c r="U70" s="9">
        <v>13033</v>
      </c>
      <c r="V70" s="9">
        <v>12637</v>
      </c>
      <c r="W70" s="9">
        <f>V70-B70</f>
        <v>-911</v>
      </c>
      <c r="X70" s="31">
        <f>W70/B70</f>
        <v>-0.06724239740183052</v>
      </c>
      <c r="AN70" s="9"/>
      <c r="AO70" s="9"/>
    </row>
    <row r="71" spans="1:41" ht="12.75">
      <c r="A71" s="2" t="s">
        <v>19</v>
      </c>
      <c r="B71" s="9">
        <v>8097</v>
      </c>
      <c r="C71" s="9">
        <v>8021</v>
      </c>
      <c r="D71" s="9">
        <v>7974</v>
      </c>
      <c r="E71" s="9">
        <v>8103</v>
      </c>
      <c r="F71" s="9">
        <v>7993</v>
      </c>
      <c r="G71" s="9">
        <v>8007</v>
      </c>
      <c r="H71" s="9">
        <v>7963</v>
      </c>
      <c r="I71" s="9">
        <v>7945</v>
      </c>
      <c r="J71" s="9">
        <v>8096</v>
      </c>
      <c r="K71" s="9">
        <v>8101</v>
      </c>
      <c r="L71" s="9">
        <v>8524</v>
      </c>
      <c r="M71" s="9">
        <v>8698</v>
      </c>
      <c r="N71" s="9">
        <v>8586</v>
      </c>
      <c r="O71" s="9">
        <v>8381</v>
      </c>
      <c r="P71" s="9">
        <v>8276</v>
      </c>
      <c r="Q71" s="9">
        <v>8172</v>
      </c>
      <c r="R71" s="9">
        <v>8155</v>
      </c>
      <c r="S71" s="9">
        <v>8122</v>
      </c>
      <c r="T71" s="9">
        <v>8038</v>
      </c>
      <c r="U71" s="9">
        <v>7915</v>
      </c>
      <c r="V71" s="9">
        <v>7626</v>
      </c>
      <c r="W71" s="9">
        <f>V71-B71</f>
        <v>-471</v>
      </c>
      <c r="X71" s="31">
        <f>W71/B71</f>
        <v>-0.058169692478695814</v>
      </c>
      <c r="AN71" s="9"/>
      <c r="AO71" s="9"/>
    </row>
    <row r="72" spans="1:41" ht="12.75">
      <c r="A72" s="5" t="s">
        <v>20</v>
      </c>
      <c r="L72" s="9">
        <v>6690</v>
      </c>
      <c r="M72" s="9">
        <v>6831</v>
      </c>
      <c r="N72" s="9">
        <v>6797</v>
      </c>
      <c r="O72" s="9">
        <v>6579</v>
      </c>
      <c r="P72" s="9">
        <v>6525</v>
      </c>
      <c r="Q72" s="9">
        <v>6320</v>
      </c>
      <c r="R72" s="9">
        <v>6526</v>
      </c>
      <c r="S72" s="9">
        <v>6384</v>
      </c>
      <c r="T72" s="9">
        <v>6405</v>
      </c>
      <c r="U72" s="9">
        <v>6180</v>
      </c>
      <c r="V72" s="9">
        <v>5826</v>
      </c>
      <c r="W72" s="9">
        <f>V72-L72</f>
        <v>-864</v>
      </c>
      <c r="X72" s="31">
        <f>W72/L72</f>
        <v>-0.12914798206278028</v>
      </c>
      <c r="AN72" s="9"/>
      <c r="AO72" s="9"/>
    </row>
    <row r="73" spans="1:41" ht="12.75">
      <c r="A73" s="5" t="s">
        <v>21</v>
      </c>
      <c r="L73" s="9">
        <v>5967</v>
      </c>
      <c r="M73" s="9">
        <v>6023</v>
      </c>
      <c r="N73" s="9">
        <v>5826</v>
      </c>
      <c r="O73" s="9">
        <v>5601</v>
      </c>
      <c r="P73" s="9">
        <v>5579</v>
      </c>
      <c r="Q73" s="9">
        <v>5459</v>
      </c>
      <c r="R73" s="9">
        <v>5497</v>
      </c>
      <c r="S73" s="9">
        <v>5487</v>
      </c>
      <c r="T73" s="9">
        <v>5384</v>
      </c>
      <c r="U73" s="9">
        <v>5410</v>
      </c>
      <c r="V73" s="9">
        <v>5186</v>
      </c>
      <c r="W73" s="9">
        <f>V73-L73</f>
        <v>-781</v>
      </c>
      <c r="X73" s="31">
        <f>W73/L73</f>
        <v>-0.13088654265124852</v>
      </c>
      <c r="AN73" s="9"/>
      <c r="AO73" s="9"/>
    </row>
    <row r="74" spans="1:41" ht="12.75">
      <c r="A74" s="2" t="s">
        <v>22</v>
      </c>
      <c r="L74" s="9">
        <v>10822</v>
      </c>
      <c r="M74" s="9">
        <v>10674</v>
      </c>
      <c r="N74" s="9">
        <v>10651</v>
      </c>
      <c r="O74" s="9">
        <v>10084</v>
      </c>
      <c r="P74" s="9">
        <v>10071</v>
      </c>
      <c r="Q74" s="9">
        <v>9792</v>
      </c>
      <c r="R74" s="9">
        <v>9861</v>
      </c>
      <c r="S74" s="9">
        <v>9929</v>
      </c>
      <c r="T74" s="9">
        <v>9622</v>
      </c>
      <c r="U74" s="9">
        <v>9423</v>
      </c>
      <c r="V74" s="9">
        <v>9076</v>
      </c>
      <c r="W74" s="9">
        <f>V74-L74</f>
        <v>-1746</v>
      </c>
      <c r="X74" s="31">
        <f>W74/L74</f>
        <v>-0.16133801515431528</v>
      </c>
      <c r="AN74" s="9"/>
      <c r="AO74" s="9"/>
    </row>
    <row r="75" spans="1:41" ht="12.75">
      <c r="A75" s="3" t="s">
        <v>139</v>
      </c>
      <c r="B75" s="10">
        <v>27581</v>
      </c>
      <c r="C75" s="10">
        <v>27194</v>
      </c>
      <c r="D75" s="9">
        <v>26877</v>
      </c>
      <c r="E75" s="10">
        <v>27206</v>
      </c>
      <c r="F75" s="10">
        <v>26945</v>
      </c>
      <c r="G75" s="10">
        <v>27127</v>
      </c>
      <c r="H75" s="10">
        <v>26904</v>
      </c>
      <c r="I75" s="10">
        <v>26677</v>
      </c>
      <c r="J75" s="10">
        <v>27582</v>
      </c>
      <c r="K75" s="10">
        <v>27413</v>
      </c>
      <c r="L75" s="10">
        <v>23479</v>
      </c>
      <c r="M75" s="10">
        <v>23528</v>
      </c>
      <c r="N75" s="10">
        <v>23274</v>
      </c>
      <c r="O75" s="10">
        <v>22264</v>
      </c>
      <c r="P75" s="10">
        <v>22175</v>
      </c>
      <c r="Q75" s="10">
        <v>21571</v>
      </c>
      <c r="R75" s="10">
        <v>21884</v>
      </c>
      <c r="S75" s="10">
        <v>21800</v>
      </c>
      <c r="T75" s="10">
        <v>21411</v>
      </c>
      <c r="U75" s="10">
        <v>21013</v>
      </c>
      <c r="V75" s="10">
        <v>20088</v>
      </c>
      <c r="W75" s="9">
        <f>V75-B75</f>
        <v>-7493</v>
      </c>
      <c r="X75" s="31">
        <f>W75/B75</f>
        <v>-0.2716725281896958</v>
      </c>
      <c r="AN75" s="9"/>
      <c r="AO75" s="9"/>
    </row>
    <row r="76" spans="9:22" ht="12.75">
      <c r="I76" s="52"/>
      <c r="J76" s="52"/>
      <c r="K76" s="52" t="s">
        <v>140</v>
      </c>
      <c r="R76" s="10"/>
      <c r="S76" s="10"/>
      <c r="T76" s="10"/>
      <c r="U76" s="10"/>
      <c r="V76" s="10"/>
    </row>
    <row r="77" spans="1:22" ht="12.75">
      <c r="A77" s="19" t="s">
        <v>84</v>
      </c>
      <c r="R77" s="10"/>
      <c r="S77" s="10"/>
      <c r="T77" s="10"/>
      <c r="U77" s="10"/>
      <c r="V77" s="10"/>
    </row>
    <row r="78" spans="18:22" ht="12.75">
      <c r="R78" s="10"/>
      <c r="S78" s="10"/>
      <c r="T78" s="10"/>
      <c r="U78" s="10"/>
      <c r="V78" s="10"/>
    </row>
    <row r="79" spans="1:22" ht="12.75">
      <c r="A79" s="4" t="s">
        <v>153</v>
      </c>
      <c r="R79" s="10"/>
      <c r="S79" s="10"/>
      <c r="T79" s="10"/>
      <c r="U79" s="10"/>
      <c r="V79" s="10"/>
    </row>
    <row r="80" spans="1:33" ht="12.75">
      <c r="A80" s="4" t="s">
        <v>23</v>
      </c>
      <c r="B80" s="14" t="s">
        <v>242</v>
      </c>
      <c r="C80" s="14" t="s">
        <v>242</v>
      </c>
      <c r="D80">
        <v>1291</v>
      </c>
      <c r="E80" s="9">
        <v>1343</v>
      </c>
      <c r="F80" s="9">
        <v>1395</v>
      </c>
      <c r="G80" s="9">
        <v>1483</v>
      </c>
      <c r="H80" s="9">
        <v>1409</v>
      </c>
      <c r="I80" s="9">
        <v>1498</v>
      </c>
      <c r="J80" s="9">
        <v>1520</v>
      </c>
      <c r="K80" s="9">
        <v>1427</v>
      </c>
      <c r="L80" s="9">
        <v>954</v>
      </c>
      <c r="M80" s="9">
        <v>899</v>
      </c>
      <c r="N80" s="9">
        <v>956</v>
      </c>
      <c r="O80" s="9">
        <v>864</v>
      </c>
      <c r="P80" s="9">
        <v>814</v>
      </c>
      <c r="Q80" s="9">
        <v>758</v>
      </c>
      <c r="R80" s="10">
        <v>453</v>
      </c>
      <c r="S80" s="10">
        <v>547</v>
      </c>
      <c r="T80" s="10">
        <v>565</v>
      </c>
      <c r="U80" s="10">
        <v>466</v>
      </c>
      <c r="V80" s="10">
        <v>556</v>
      </c>
      <c r="Y80" s="9">
        <f aca="true" t="shared" si="2" ref="Y80:AG80">N80</f>
        <v>956</v>
      </c>
      <c r="Z80" s="9">
        <f t="shared" si="2"/>
        <v>864</v>
      </c>
      <c r="AA80" s="9">
        <f t="shared" si="2"/>
        <v>814</v>
      </c>
      <c r="AB80" s="9">
        <f t="shared" si="2"/>
        <v>758</v>
      </c>
      <c r="AC80" s="9">
        <f t="shared" si="2"/>
        <v>453</v>
      </c>
      <c r="AD80" s="9">
        <f t="shared" si="2"/>
        <v>547</v>
      </c>
      <c r="AE80" s="9">
        <f t="shared" si="2"/>
        <v>565</v>
      </c>
      <c r="AF80" s="9">
        <f t="shared" si="2"/>
        <v>466</v>
      </c>
      <c r="AG80" s="9">
        <f t="shared" si="2"/>
        <v>556</v>
      </c>
    </row>
    <row r="81" spans="1:33" ht="12.75">
      <c r="A81" s="4" t="s">
        <v>24</v>
      </c>
      <c r="B81" s="14" t="s">
        <v>242</v>
      </c>
      <c r="C81" s="14" t="s">
        <v>242</v>
      </c>
      <c r="D81">
        <v>2182</v>
      </c>
      <c r="E81" s="9">
        <v>2244</v>
      </c>
      <c r="F81" s="9">
        <v>2291</v>
      </c>
      <c r="G81" s="9">
        <v>2461</v>
      </c>
      <c r="H81" s="9">
        <v>2521</v>
      </c>
      <c r="I81" s="9">
        <v>2504</v>
      </c>
      <c r="J81" s="9">
        <v>2688</v>
      </c>
      <c r="K81" s="9">
        <v>2629</v>
      </c>
      <c r="L81" s="9">
        <v>1532</v>
      </c>
      <c r="M81" s="9">
        <v>1491</v>
      </c>
      <c r="N81" s="9">
        <v>1372</v>
      </c>
      <c r="O81" s="9">
        <v>1287</v>
      </c>
      <c r="P81" s="9">
        <v>1253</v>
      </c>
      <c r="Q81" s="9">
        <v>1207</v>
      </c>
      <c r="R81" s="10">
        <v>1357</v>
      </c>
      <c r="S81" s="10">
        <v>1292</v>
      </c>
      <c r="T81" s="10">
        <v>1245</v>
      </c>
      <c r="U81" s="10">
        <v>1302</v>
      </c>
      <c r="V81" s="10">
        <v>1292</v>
      </c>
      <c r="Y81" s="9">
        <f aca="true" t="shared" si="3" ref="Y81:Y90">Y80+N81</f>
        <v>2328</v>
      </c>
      <c r="Z81" s="9">
        <f aca="true" t="shared" si="4" ref="Z81:Z90">Z80+O81</f>
        <v>2151</v>
      </c>
      <c r="AA81" s="9">
        <f aca="true" t="shared" si="5" ref="AA81:AA90">AA80+P81</f>
        <v>2067</v>
      </c>
      <c r="AB81" s="9">
        <f aca="true" t="shared" si="6" ref="AB81:AB90">AB80+Q81</f>
        <v>1965</v>
      </c>
      <c r="AC81" s="9">
        <f aca="true" t="shared" si="7" ref="AC81:AC90">AC80+R81</f>
        <v>1810</v>
      </c>
      <c r="AD81" s="9">
        <f aca="true" t="shared" si="8" ref="AD81:AD90">AD80+S81</f>
        <v>1839</v>
      </c>
      <c r="AE81" s="9">
        <f aca="true" t="shared" si="9" ref="AE81:AE90">AE80+T81</f>
        <v>1810</v>
      </c>
      <c r="AF81" s="9">
        <f aca="true" t="shared" si="10" ref="AF81:AF90">AF80+U81</f>
        <v>1768</v>
      </c>
      <c r="AG81" s="9">
        <f aca="true" t="shared" si="11" ref="AG81:AG90">AG80+V81</f>
        <v>1848</v>
      </c>
    </row>
    <row r="82" spans="1:33" ht="12.75">
      <c r="A82" s="25" t="s">
        <v>317</v>
      </c>
      <c r="B82" s="9">
        <v>3851</v>
      </c>
      <c r="C82" s="9">
        <v>3691</v>
      </c>
      <c r="D82"/>
      <c r="R82" s="10"/>
      <c r="S82" s="10"/>
      <c r="T82" s="10"/>
      <c r="U82" s="10"/>
      <c r="V82" s="10"/>
      <c r="Y82" s="9">
        <f t="shared" si="3"/>
        <v>2328</v>
      </c>
      <c r="Z82" s="9">
        <f t="shared" si="4"/>
        <v>2151</v>
      </c>
      <c r="AA82" s="9">
        <f t="shared" si="5"/>
        <v>2067</v>
      </c>
      <c r="AB82" s="9">
        <f t="shared" si="6"/>
        <v>1965</v>
      </c>
      <c r="AC82" s="9">
        <f t="shared" si="7"/>
        <v>1810</v>
      </c>
      <c r="AD82" s="9">
        <f t="shared" si="8"/>
        <v>1839</v>
      </c>
      <c r="AE82" s="9">
        <f t="shared" si="9"/>
        <v>1810</v>
      </c>
      <c r="AF82" s="9">
        <f t="shared" si="10"/>
        <v>1768</v>
      </c>
      <c r="AG82" s="9">
        <f t="shared" si="11"/>
        <v>1848</v>
      </c>
    </row>
    <row r="83" spans="1:33" ht="12.75">
      <c r="A83" s="2" t="s">
        <v>25</v>
      </c>
      <c r="B83" s="9">
        <v>8280</v>
      </c>
      <c r="C83" s="9">
        <v>8182</v>
      </c>
      <c r="D83">
        <v>8165</v>
      </c>
      <c r="E83" s="9">
        <v>8277</v>
      </c>
      <c r="F83" s="9">
        <v>8534</v>
      </c>
      <c r="G83" s="9">
        <v>8847</v>
      </c>
      <c r="H83" s="9">
        <v>8684</v>
      </c>
      <c r="I83" s="9">
        <v>8777</v>
      </c>
      <c r="J83" s="9">
        <v>9295</v>
      </c>
      <c r="K83" s="9">
        <v>9477</v>
      </c>
      <c r="L83" s="9">
        <v>10159</v>
      </c>
      <c r="M83" s="9">
        <v>10210</v>
      </c>
      <c r="N83" s="9">
        <v>10178</v>
      </c>
      <c r="O83" s="9">
        <v>9626</v>
      </c>
      <c r="P83" s="9">
        <v>9489</v>
      </c>
      <c r="Q83" s="9">
        <v>9682</v>
      </c>
      <c r="R83" s="10">
        <v>11088</v>
      </c>
      <c r="S83" s="10">
        <v>10554</v>
      </c>
      <c r="T83" s="10">
        <v>10214</v>
      </c>
      <c r="U83" s="10">
        <v>10318</v>
      </c>
      <c r="V83" s="10">
        <v>10319</v>
      </c>
      <c r="Y83" s="9">
        <f t="shared" si="3"/>
        <v>12506</v>
      </c>
      <c r="Z83" s="9">
        <f t="shared" si="4"/>
        <v>11777</v>
      </c>
      <c r="AA83" s="9">
        <f t="shared" si="5"/>
        <v>11556</v>
      </c>
      <c r="AB83" s="9">
        <f t="shared" si="6"/>
        <v>11647</v>
      </c>
      <c r="AC83" s="9">
        <f t="shared" si="7"/>
        <v>12898</v>
      </c>
      <c r="AD83" s="9">
        <f t="shared" si="8"/>
        <v>12393</v>
      </c>
      <c r="AE83" s="9">
        <f t="shared" si="9"/>
        <v>12024</v>
      </c>
      <c r="AF83" s="9">
        <f t="shared" si="10"/>
        <v>12086</v>
      </c>
      <c r="AG83" s="9">
        <f t="shared" si="11"/>
        <v>12167</v>
      </c>
    </row>
    <row r="84" spans="1:33" ht="12.75">
      <c r="A84" s="2" t="s">
        <v>26</v>
      </c>
      <c r="B84" s="9">
        <v>15621</v>
      </c>
      <c r="C84" s="9">
        <v>15728</v>
      </c>
      <c r="D84">
        <v>15954</v>
      </c>
      <c r="E84" s="9">
        <v>16169</v>
      </c>
      <c r="F84" s="9">
        <v>16192</v>
      </c>
      <c r="G84" s="9">
        <v>16564</v>
      </c>
      <c r="H84" s="9">
        <v>16658</v>
      </c>
      <c r="I84" s="9">
        <v>16726</v>
      </c>
      <c r="J84" s="9">
        <v>17307</v>
      </c>
      <c r="K84" s="9">
        <v>17828</v>
      </c>
      <c r="L84" s="9">
        <v>19416</v>
      </c>
      <c r="M84" s="9">
        <v>20724</v>
      </c>
      <c r="N84" s="9">
        <v>20489</v>
      </c>
      <c r="O84" s="9">
        <v>19871</v>
      </c>
      <c r="P84" s="9">
        <v>19983</v>
      </c>
      <c r="Q84" s="9">
        <v>19718</v>
      </c>
      <c r="R84" s="10">
        <v>22183</v>
      </c>
      <c r="S84" s="10">
        <v>22501</v>
      </c>
      <c r="T84" s="10">
        <v>21992</v>
      </c>
      <c r="U84" s="10">
        <v>22069</v>
      </c>
      <c r="V84" s="10">
        <v>21599</v>
      </c>
      <c r="Y84" s="9">
        <f t="shared" si="3"/>
        <v>32995</v>
      </c>
      <c r="Z84" s="9">
        <f t="shared" si="4"/>
        <v>31648</v>
      </c>
      <c r="AA84" s="9">
        <f t="shared" si="5"/>
        <v>31539</v>
      </c>
      <c r="AB84" s="9">
        <f t="shared" si="6"/>
        <v>31365</v>
      </c>
      <c r="AC84" s="9">
        <f t="shared" si="7"/>
        <v>35081</v>
      </c>
      <c r="AD84" s="9">
        <f t="shared" si="8"/>
        <v>34894</v>
      </c>
      <c r="AE84" s="9">
        <f t="shared" si="9"/>
        <v>34016</v>
      </c>
      <c r="AF84" s="9">
        <f t="shared" si="10"/>
        <v>34155</v>
      </c>
      <c r="AG84" s="9">
        <f t="shared" si="11"/>
        <v>33766</v>
      </c>
    </row>
    <row r="85" spans="1:33" ht="12.75">
      <c r="A85" s="2" t="s">
        <v>27</v>
      </c>
      <c r="B85" s="9">
        <v>18588</v>
      </c>
      <c r="C85" s="9">
        <v>18840</v>
      </c>
      <c r="D85">
        <v>19126</v>
      </c>
      <c r="E85" s="9">
        <v>19262</v>
      </c>
      <c r="F85" s="9">
        <v>19363</v>
      </c>
      <c r="G85" s="9">
        <v>19668</v>
      </c>
      <c r="H85" s="9">
        <v>20134</v>
      </c>
      <c r="I85" s="9">
        <v>20481</v>
      </c>
      <c r="J85" s="9">
        <v>21251</v>
      </c>
      <c r="K85" s="9">
        <v>21937</v>
      </c>
      <c r="L85" s="9">
        <v>21581</v>
      </c>
      <c r="M85" s="9">
        <v>22805</v>
      </c>
      <c r="N85" s="9">
        <v>23067</v>
      </c>
      <c r="O85" s="9">
        <v>23103</v>
      </c>
      <c r="P85" s="9">
        <v>22933</v>
      </c>
      <c r="Q85" s="9">
        <v>23668</v>
      </c>
      <c r="R85" s="10">
        <v>23925</v>
      </c>
      <c r="S85" s="10">
        <v>25837</v>
      </c>
      <c r="T85" s="10">
        <v>27151</v>
      </c>
      <c r="U85" s="10">
        <v>27168</v>
      </c>
      <c r="V85" s="10">
        <v>27687</v>
      </c>
      <c r="Y85" s="62">
        <f t="shared" si="3"/>
        <v>56062</v>
      </c>
      <c r="Z85" s="62">
        <f t="shared" si="4"/>
        <v>54751</v>
      </c>
      <c r="AA85" s="62">
        <f t="shared" si="5"/>
        <v>54472</v>
      </c>
      <c r="AB85" s="62">
        <f t="shared" si="6"/>
        <v>55033</v>
      </c>
      <c r="AC85" s="62">
        <f t="shared" si="7"/>
        <v>59006</v>
      </c>
      <c r="AD85" s="62">
        <f t="shared" si="8"/>
        <v>60731</v>
      </c>
      <c r="AE85" s="62">
        <f t="shared" si="9"/>
        <v>61167</v>
      </c>
      <c r="AF85" s="62">
        <f t="shared" si="10"/>
        <v>61323</v>
      </c>
      <c r="AG85" s="62">
        <f t="shared" si="11"/>
        <v>61453</v>
      </c>
    </row>
    <row r="86" spans="1:33" ht="12.75">
      <c r="A86" s="2" t="s">
        <v>28</v>
      </c>
      <c r="B86" s="9">
        <v>14955</v>
      </c>
      <c r="C86" s="9">
        <v>15085</v>
      </c>
      <c r="D86">
        <v>15645</v>
      </c>
      <c r="E86" s="9">
        <v>16091</v>
      </c>
      <c r="F86" s="9">
        <v>16325</v>
      </c>
      <c r="G86" s="9">
        <v>16628</v>
      </c>
      <c r="H86" s="9">
        <v>17195</v>
      </c>
      <c r="I86" s="9">
        <v>17412</v>
      </c>
      <c r="J86" s="9">
        <v>18143</v>
      </c>
      <c r="K86" s="9">
        <v>18324</v>
      </c>
      <c r="L86" s="9">
        <v>18548</v>
      </c>
      <c r="M86" s="9">
        <v>19447</v>
      </c>
      <c r="N86" s="9">
        <v>20510</v>
      </c>
      <c r="O86" s="9">
        <v>20490</v>
      </c>
      <c r="P86" s="9">
        <v>21008</v>
      </c>
      <c r="Q86" s="9">
        <v>21824</v>
      </c>
      <c r="R86" s="10">
        <v>21032</v>
      </c>
      <c r="S86" s="10">
        <v>22954</v>
      </c>
      <c r="T86" s="10">
        <v>24338</v>
      </c>
      <c r="U86" s="10">
        <v>24239</v>
      </c>
      <c r="V86" s="10">
        <v>24810</v>
      </c>
      <c r="Y86" s="9">
        <f t="shared" si="3"/>
        <v>76572</v>
      </c>
      <c r="Z86" s="9">
        <f t="shared" si="4"/>
        <v>75241</v>
      </c>
      <c r="AA86" s="9">
        <f t="shared" si="5"/>
        <v>75480</v>
      </c>
      <c r="AB86" s="9">
        <f t="shared" si="6"/>
        <v>76857</v>
      </c>
      <c r="AC86" s="9">
        <f t="shared" si="7"/>
        <v>80038</v>
      </c>
      <c r="AD86" s="9">
        <f t="shared" si="8"/>
        <v>83685</v>
      </c>
      <c r="AE86" s="9">
        <f t="shared" si="9"/>
        <v>85505</v>
      </c>
      <c r="AF86" s="9">
        <f t="shared" si="10"/>
        <v>85562</v>
      </c>
      <c r="AG86" s="9">
        <f t="shared" si="11"/>
        <v>86263</v>
      </c>
    </row>
    <row r="87" spans="1:33" ht="12.75">
      <c r="A87" s="2" t="s">
        <v>29</v>
      </c>
      <c r="D87"/>
      <c r="L87" s="9">
        <v>12232</v>
      </c>
      <c r="M87" s="9">
        <v>12332</v>
      </c>
      <c r="N87" s="9">
        <v>13235</v>
      </c>
      <c r="O87" s="9">
        <v>12882</v>
      </c>
      <c r="P87" s="9">
        <v>13592</v>
      </c>
      <c r="Q87" s="9">
        <v>14096</v>
      </c>
      <c r="R87" s="10">
        <v>13629</v>
      </c>
      <c r="S87" s="10">
        <v>13994</v>
      </c>
      <c r="T87" s="10">
        <v>14589</v>
      </c>
      <c r="U87" s="10">
        <v>14510</v>
      </c>
      <c r="V87" s="10">
        <v>15058</v>
      </c>
      <c r="Y87" s="9">
        <f t="shared" si="3"/>
        <v>89807</v>
      </c>
      <c r="Z87" s="9">
        <f t="shared" si="4"/>
        <v>88123</v>
      </c>
      <c r="AA87" s="9">
        <f t="shared" si="5"/>
        <v>89072</v>
      </c>
      <c r="AB87" s="9">
        <f t="shared" si="6"/>
        <v>90953</v>
      </c>
      <c r="AC87" s="9">
        <f t="shared" si="7"/>
        <v>93667</v>
      </c>
      <c r="AD87" s="9">
        <f t="shared" si="8"/>
        <v>97679</v>
      </c>
      <c r="AE87" s="9">
        <f t="shared" si="9"/>
        <v>100094</v>
      </c>
      <c r="AF87" s="9">
        <f t="shared" si="10"/>
        <v>100072</v>
      </c>
      <c r="AG87" s="9">
        <f t="shared" si="11"/>
        <v>101321</v>
      </c>
    </row>
    <row r="88" spans="1:33" ht="12.75">
      <c r="A88" s="2" t="s">
        <v>30</v>
      </c>
      <c r="D88"/>
      <c r="L88" s="9">
        <v>6966</v>
      </c>
      <c r="M88" s="9">
        <v>6889</v>
      </c>
      <c r="N88" s="9">
        <v>7446</v>
      </c>
      <c r="O88" s="9">
        <v>7749</v>
      </c>
      <c r="P88" s="9">
        <v>7982</v>
      </c>
      <c r="Q88" s="9">
        <v>8321</v>
      </c>
      <c r="R88" s="10">
        <v>8363</v>
      </c>
      <c r="S88" s="10">
        <v>8214</v>
      </c>
      <c r="T88" s="10">
        <v>8393</v>
      </c>
      <c r="U88" s="10">
        <v>8250</v>
      </c>
      <c r="V88" s="10">
        <v>8760</v>
      </c>
      <c r="Y88" s="9">
        <f t="shared" si="3"/>
        <v>97253</v>
      </c>
      <c r="Z88" s="9">
        <f t="shared" si="4"/>
        <v>95872</v>
      </c>
      <c r="AA88" s="9">
        <f t="shared" si="5"/>
        <v>97054</v>
      </c>
      <c r="AB88" s="9">
        <f t="shared" si="6"/>
        <v>99274</v>
      </c>
      <c r="AC88" s="9">
        <f t="shared" si="7"/>
        <v>102030</v>
      </c>
      <c r="AD88" s="9">
        <f t="shared" si="8"/>
        <v>105893</v>
      </c>
      <c r="AE88" s="9">
        <f t="shared" si="9"/>
        <v>108487</v>
      </c>
      <c r="AF88" s="9">
        <f t="shared" si="10"/>
        <v>108322</v>
      </c>
      <c r="AG88" s="9">
        <f t="shared" si="11"/>
        <v>110081</v>
      </c>
    </row>
    <row r="89" spans="1:33" ht="12.75">
      <c r="A89" s="2" t="s">
        <v>31</v>
      </c>
      <c r="D89"/>
      <c r="L89" s="9">
        <v>3169</v>
      </c>
      <c r="M89" s="9">
        <v>3009</v>
      </c>
      <c r="N89" s="9">
        <v>3275</v>
      </c>
      <c r="O89" s="9">
        <v>3467</v>
      </c>
      <c r="P89" s="9">
        <v>3842</v>
      </c>
      <c r="Q89" s="9">
        <v>4096</v>
      </c>
      <c r="R89" s="10">
        <v>4162</v>
      </c>
      <c r="S89" s="10">
        <v>3679</v>
      </c>
      <c r="T89" s="10">
        <v>3869</v>
      </c>
      <c r="U89" s="10">
        <v>3890</v>
      </c>
      <c r="V89" s="10">
        <v>4203</v>
      </c>
      <c r="Y89" s="9">
        <f t="shared" si="3"/>
        <v>100528</v>
      </c>
      <c r="Z89" s="9">
        <f t="shared" si="4"/>
        <v>99339</v>
      </c>
      <c r="AA89" s="9">
        <f t="shared" si="5"/>
        <v>100896</v>
      </c>
      <c r="AB89" s="9">
        <f t="shared" si="6"/>
        <v>103370</v>
      </c>
      <c r="AC89" s="9">
        <f t="shared" si="7"/>
        <v>106192</v>
      </c>
      <c r="AD89" s="9">
        <f t="shared" si="8"/>
        <v>109572</v>
      </c>
      <c r="AE89" s="9">
        <f t="shared" si="9"/>
        <v>112356</v>
      </c>
      <c r="AF89" s="9">
        <f t="shared" si="10"/>
        <v>112212</v>
      </c>
      <c r="AG89" s="9">
        <f t="shared" si="11"/>
        <v>114284</v>
      </c>
    </row>
    <row r="90" spans="1:33" ht="12.75">
      <c r="A90" s="2" t="s">
        <v>32</v>
      </c>
      <c r="D90"/>
      <c r="L90" s="9">
        <v>2191</v>
      </c>
      <c r="M90" s="9">
        <v>2009</v>
      </c>
      <c r="N90" s="9">
        <v>2253</v>
      </c>
      <c r="O90" s="9">
        <v>2526</v>
      </c>
      <c r="P90" s="9">
        <v>2625</v>
      </c>
      <c r="Q90" s="9">
        <v>3032</v>
      </c>
      <c r="R90" s="10">
        <v>2999</v>
      </c>
      <c r="S90" s="10">
        <v>2721</v>
      </c>
      <c r="T90" s="10">
        <v>3683</v>
      </c>
      <c r="U90" s="10">
        <v>4999</v>
      </c>
      <c r="V90" s="10">
        <v>6248</v>
      </c>
      <c r="Y90" s="9">
        <f t="shared" si="3"/>
        <v>102781</v>
      </c>
      <c r="Z90" s="9">
        <f t="shared" si="4"/>
        <v>101865</v>
      </c>
      <c r="AA90" s="9">
        <f t="shared" si="5"/>
        <v>103521</v>
      </c>
      <c r="AB90" s="9">
        <f t="shared" si="6"/>
        <v>106402</v>
      </c>
      <c r="AC90" s="9">
        <f t="shared" si="7"/>
        <v>109191</v>
      </c>
      <c r="AD90" s="9">
        <f t="shared" si="8"/>
        <v>112293</v>
      </c>
      <c r="AE90" s="9">
        <f t="shared" si="9"/>
        <v>116039</v>
      </c>
      <c r="AF90" s="9">
        <f t="shared" si="10"/>
        <v>117211</v>
      </c>
      <c r="AG90" s="9">
        <f t="shared" si="11"/>
        <v>120532</v>
      </c>
    </row>
    <row r="91" spans="1:33" ht="12.75">
      <c r="A91" s="3" t="s">
        <v>141</v>
      </c>
      <c r="B91" s="10">
        <v>13998</v>
      </c>
      <c r="C91" s="10">
        <v>14360</v>
      </c>
      <c r="D91">
        <v>15190</v>
      </c>
      <c r="E91" s="10">
        <v>15929</v>
      </c>
      <c r="F91" s="10">
        <v>16615</v>
      </c>
      <c r="G91" s="10">
        <v>17184</v>
      </c>
      <c r="H91" s="10">
        <v>17984</v>
      </c>
      <c r="I91" s="10">
        <v>18625</v>
      </c>
      <c r="J91" s="10">
        <v>19405</v>
      </c>
      <c r="K91" s="10">
        <v>20053</v>
      </c>
      <c r="L91" s="10">
        <v>24558</v>
      </c>
      <c r="M91" s="10">
        <v>24239</v>
      </c>
      <c r="N91" s="10">
        <v>26209</v>
      </c>
      <c r="O91" s="10">
        <v>26624</v>
      </c>
      <c r="P91" s="10">
        <v>28041</v>
      </c>
      <c r="Q91" s="10">
        <v>29545</v>
      </c>
      <c r="R91" s="10">
        <v>29153</v>
      </c>
      <c r="S91" s="10">
        <v>28608</v>
      </c>
      <c r="T91" s="10">
        <v>30534</v>
      </c>
      <c r="U91" s="10">
        <v>31649</v>
      </c>
      <c r="V91" s="10">
        <v>34269</v>
      </c>
      <c r="Y91">
        <f>Y90/2</f>
        <v>51390.5</v>
      </c>
      <c r="Z91">
        <f>Z90/2</f>
        <v>50932.5</v>
      </c>
      <c r="AA91">
        <f aca="true" t="shared" si="12" ref="AA91:AF91">AA90/2</f>
        <v>51760.5</v>
      </c>
      <c r="AB91">
        <f t="shared" si="12"/>
        <v>53201</v>
      </c>
      <c r="AC91">
        <f t="shared" si="12"/>
        <v>54595.5</v>
      </c>
      <c r="AD91">
        <f t="shared" si="12"/>
        <v>56146.5</v>
      </c>
      <c r="AE91">
        <f t="shared" si="12"/>
        <v>58019.5</v>
      </c>
      <c r="AF91">
        <f t="shared" si="12"/>
        <v>58605.5</v>
      </c>
      <c r="AG91">
        <f>AG90/2</f>
        <v>60266</v>
      </c>
    </row>
    <row r="92" spans="1:33" ht="12.75">
      <c r="A92" s="3" t="s">
        <v>86</v>
      </c>
      <c r="B92" s="30">
        <v>5</v>
      </c>
      <c r="C92" s="30">
        <v>5</v>
      </c>
      <c r="D92" s="30">
        <v>5.1</v>
      </c>
      <c r="E92" s="30">
        <v>5.1</v>
      </c>
      <c r="F92" s="30">
        <v>5.1</v>
      </c>
      <c r="G92" s="30">
        <v>5.1</v>
      </c>
      <c r="H92" s="30">
        <v>5.1</v>
      </c>
      <c r="I92" s="30">
        <v>5.1</v>
      </c>
      <c r="J92" s="30">
        <v>5.1</v>
      </c>
      <c r="K92" s="30">
        <v>5.1</v>
      </c>
      <c r="L92" s="30">
        <v>5.3</v>
      </c>
      <c r="M92" s="30">
        <v>5.2</v>
      </c>
      <c r="N92" s="30">
        <v>5.3</v>
      </c>
      <c r="O92" s="30">
        <v>5.3</v>
      </c>
      <c r="P92" s="30">
        <v>5.4</v>
      </c>
      <c r="Q92" s="30">
        <v>5.4</v>
      </c>
      <c r="R92" s="10"/>
      <c r="S92" s="10"/>
      <c r="T92" s="10"/>
      <c r="U92" s="10"/>
      <c r="V92" s="10"/>
      <c r="Y92" s="30">
        <f aca="true" t="shared" si="13" ref="Y92:AG92">4.5+(Y91-Y84)/(Y85-Y84)</f>
        <v>5.29748125027095</v>
      </c>
      <c r="Z92" s="30">
        <f t="shared" si="13"/>
        <v>5.3347184348353025</v>
      </c>
      <c r="AA92" s="30">
        <f t="shared" si="13"/>
        <v>5.381764269829503</v>
      </c>
      <c r="AB92" s="30">
        <f t="shared" si="13"/>
        <v>5.422595910089573</v>
      </c>
      <c r="AC92" s="30">
        <f t="shared" si="13"/>
        <v>5.315653082549634</v>
      </c>
      <c r="AD92" s="30">
        <f t="shared" si="13"/>
        <v>5.322560668808298</v>
      </c>
      <c r="AE92" s="30">
        <f t="shared" si="13"/>
        <v>5.384074251408788</v>
      </c>
      <c r="AF92" s="30">
        <f t="shared" si="13"/>
        <v>5.399974234393404</v>
      </c>
      <c r="AG92" s="30">
        <f t="shared" si="13"/>
        <v>5.457127893957453</v>
      </c>
    </row>
    <row r="93" spans="1:22" ht="12.75">
      <c r="A93" s="4"/>
      <c r="R93" s="10"/>
      <c r="S93" s="10"/>
      <c r="T93" s="10"/>
      <c r="U93" s="10"/>
      <c r="V93" s="10"/>
    </row>
    <row r="94" spans="1:45" ht="12.75">
      <c r="A94" s="5" t="s">
        <v>154</v>
      </c>
      <c r="R94" s="10"/>
      <c r="S94" s="10"/>
      <c r="T94" s="10"/>
      <c r="U94" s="10"/>
      <c r="V94" s="10"/>
      <c r="Y94" s="34">
        <v>1973</v>
      </c>
      <c r="Z94" s="34">
        <v>1974</v>
      </c>
      <c r="AA94" s="34">
        <v>1975</v>
      </c>
      <c r="AB94" s="34">
        <v>1976</v>
      </c>
      <c r="AC94" s="34">
        <v>1977</v>
      </c>
      <c r="AD94" s="34">
        <v>1978</v>
      </c>
      <c r="AE94" s="34">
        <v>1979</v>
      </c>
      <c r="AF94" s="34">
        <v>1980</v>
      </c>
      <c r="AG94" s="34">
        <v>1981</v>
      </c>
      <c r="AH94" s="34">
        <v>1983</v>
      </c>
      <c r="AI94" s="34">
        <v>1985</v>
      </c>
      <c r="AJ94" s="33">
        <v>1987</v>
      </c>
      <c r="AK94" s="33">
        <v>1989</v>
      </c>
      <c r="AL94" s="33">
        <v>1991</v>
      </c>
      <c r="AM94" s="33">
        <v>1993</v>
      </c>
      <c r="AN94" s="33">
        <v>1995</v>
      </c>
      <c r="AO94" s="15">
        <v>1997</v>
      </c>
      <c r="AP94" s="15">
        <v>1999</v>
      </c>
      <c r="AQ94" s="15">
        <v>2001</v>
      </c>
      <c r="AR94" s="15">
        <v>2003</v>
      </c>
      <c r="AS94" s="15">
        <v>2005</v>
      </c>
    </row>
    <row r="95" spans="1:45" ht="12.75">
      <c r="A95" s="2" t="s">
        <v>33</v>
      </c>
      <c r="B95" s="9">
        <v>1860</v>
      </c>
      <c r="C95" s="9">
        <v>1796</v>
      </c>
      <c r="D95" s="9">
        <v>1671</v>
      </c>
      <c r="E95" s="9">
        <v>1722</v>
      </c>
      <c r="F95" s="9">
        <v>1854</v>
      </c>
      <c r="G95" s="9">
        <v>1887</v>
      </c>
      <c r="H95" s="9">
        <v>1798</v>
      </c>
      <c r="I95" s="9">
        <v>1845</v>
      </c>
      <c r="J95" s="9">
        <v>1866</v>
      </c>
      <c r="K95" s="9">
        <v>1790</v>
      </c>
      <c r="L95" s="9">
        <v>1776</v>
      </c>
      <c r="M95" s="9">
        <v>1646</v>
      </c>
      <c r="N95" s="9">
        <v>1734</v>
      </c>
      <c r="O95" s="9">
        <v>1586</v>
      </c>
      <c r="P95" s="9">
        <v>1470</v>
      </c>
      <c r="Q95" s="9">
        <v>1373</v>
      </c>
      <c r="R95" s="10">
        <v>589</v>
      </c>
      <c r="S95" s="10">
        <v>1142</v>
      </c>
      <c r="T95" s="10">
        <v>1107</v>
      </c>
      <c r="U95" s="10">
        <v>1097</v>
      </c>
      <c r="V95" s="10">
        <v>1138</v>
      </c>
      <c r="Y95" s="9">
        <v>1860</v>
      </c>
      <c r="Z95" s="9">
        <v>1860</v>
      </c>
      <c r="AA95" s="9">
        <v>1860</v>
      </c>
      <c r="AB95" s="9">
        <v>1860</v>
      </c>
      <c r="AC95" s="9">
        <v>1860</v>
      </c>
      <c r="AD95" s="9">
        <v>1860</v>
      </c>
      <c r="AE95" s="9">
        <v>1860</v>
      </c>
      <c r="AF95" s="9">
        <v>1860</v>
      </c>
      <c r="AG95" s="9">
        <v>1860</v>
      </c>
      <c r="AH95" s="9">
        <v>1860</v>
      </c>
      <c r="AI95" s="9">
        <v>1860</v>
      </c>
      <c r="AJ95" s="9">
        <v>1860</v>
      </c>
      <c r="AK95" s="9">
        <v>1860</v>
      </c>
      <c r="AL95" s="9">
        <v>1860</v>
      </c>
      <c r="AM95" s="9">
        <v>1860</v>
      </c>
      <c r="AN95" s="9">
        <v>1860</v>
      </c>
      <c r="AO95" s="9">
        <v>1860</v>
      </c>
      <c r="AP95" s="9">
        <v>1860</v>
      </c>
      <c r="AQ95" s="9">
        <v>1860</v>
      </c>
      <c r="AR95" s="9">
        <v>1860</v>
      </c>
      <c r="AS95" s="9">
        <v>1860</v>
      </c>
    </row>
    <row r="96" spans="1:45" ht="12.75">
      <c r="A96" s="11">
        <v>1</v>
      </c>
      <c r="B96" s="9">
        <v>11190</v>
      </c>
      <c r="C96" s="9">
        <v>11109</v>
      </c>
      <c r="D96" s="9">
        <v>11273</v>
      </c>
      <c r="E96" s="9">
        <v>11577</v>
      </c>
      <c r="F96" s="9">
        <v>11611</v>
      </c>
      <c r="G96" s="9">
        <v>12219</v>
      </c>
      <c r="H96" s="9">
        <v>12252</v>
      </c>
      <c r="I96" s="9">
        <v>12291</v>
      </c>
      <c r="J96" s="9">
        <v>12907</v>
      </c>
      <c r="K96" s="9">
        <v>13129</v>
      </c>
      <c r="L96" s="9">
        <v>13542</v>
      </c>
      <c r="M96" s="9">
        <v>13905</v>
      </c>
      <c r="N96" s="9">
        <v>13865</v>
      </c>
      <c r="O96" s="9">
        <v>13599</v>
      </c>
      <c r="P96" s="9">
        <v>13338</v>
      </c>
      <c r="Q96" s="9">
        <v>13695</v>
      </c>
      <c r="R96" s="10">
        <v>14466</v>
      </c>
      <c r="S96" s="10">
        <v>13941</v>
      </c>
      <c r="T96" s="10">
        <v>13850</v>
      </c>
      <c r="U96" s="10">
        <v>13727</v>
      </c>
      <c r="V96" s="10">
        <v>13989</v>
      </c>
      <c r="Y96" s="9">
        <f aca="true" t="shared" si="14" ref="Y96:AH99">Y95+B96</f>
        <v>13050</v>
      </c>
      <c r="Z96" s="9">
        <f t="shared" si="14"/>
        <v>12969</v>
      </c>
      <c r="AA96" s="9">
        <f t="shared" si="14"/>
        <v>13133</v>
      </c>
      <c r="AB96" s="9">
        <f t="shared" si="14"/>
        <v>13437</v>
      </c>
      <c r="AC96" s="9">
        <f t="shared" si="14"/>
        <v>13471</v>
      </c>
      <c r="AD96" s="9">
        <f t="shared" si="14"/>
        <v>14079</v>
      </c>
      <c r="AE96" s="9">
        <f t="shared" si="14"/>
        <v>14112</v>
      </c>
      <c r="AF96" s="9">
        <f t="shared" si="14"/>
        <v>14151</v>
      </c>
      <c r="AG96" s="9">
        <f t="shared" si="14"/>
        <v>14767</v>
      </c>
      <c r="AH96" s="9">
        <f t="shared" si="14"/>
        <v>14989</v>
      </c>
      <c r="AI96" s="9">
        <f aca="true" t="shared" si="15" ref="AI96:AR99">AI95+L96</f>
        <v>15402</v>
      </c>
      <c r="AJ96" s="9">
        <f t="shared" si="15"/>
        <v>15765</v>
      </c>
      <c r="AK96" s="9">
        <f t="shared" si="15"/>
        <v>15725</v>
      </c>
      <c r="AL96" s="9">
        <f t="shared" si="15"/>
        <v>15459</v>
      </c>
      <c r="AM96" s="9">
        <f t="shared" si="15"/>
        <v>15198</v>
      </c>
      <c r="AN96" s="9">
        <f t="shared" si="15"/>
        <v>15555</v>
      </c>
      <c r="AO96" s="9">
        <f t="shared" si="15"/>
        <v>16326</v>
      </c>
      <c r="AP96" s="9">
        <f t="shared" si="15"/>
        <v>15801</v>
      </c>
      <c r="AQ96" s="9">
        <f t="shared" si="15"/>
        <v>15710</v>
      </c>
      <c r="AR96" s="9">
        <f t="shared" si="15"/>
        <v>15587</v>
      </c>
      <c r="AS96" s="9">
        <f>AS95+V96</f>
        <v>15849</v>
      </c>
    </row>
    <row r="97" spans="1:45" ht="12.75">
      <c r="A97" s="11">
        <v>2</v>
      </c>
      <c r="B97" s="9">
        <v>25506</v>
      </c>
      <c r="C97" s="9">
        <v>25572</v>
      </c>
      <c r="D97" s="9">
        <v>26259</v>
      </c>
      <c r="E97" s="9">
        <v>26635</v>
      </c>
      <c r="F97" s="9">
        <v>26689</v>
      </c>
      <c r="G97" s="9">
        <v>27206</v>
      </c>
      <c r="H97" s="9">
        <v>27426</v>
      </c>
      <c r="I97" s="9">
        <v>27685</v>
      </c>
      <c r="J97" s="9">
        <v>28802</v>
      </c>
      <c r="K97" s="9">
        <v>30235</v>
      </c>
      <c r="L97" s="9">
        <v>31500</v>
      </c>
      <c r="M97" s="9">
        <v>32465</v>
      </c>
      <c r="N97" s="9">
        <v>33041</v>
      </c>
      <c r="O97" s="9">
        <v>32589</v>
      </c>
      <c r="P97" s="9">
        <v>32678</v>
      </c>
      <c r="Q97" s="9">
        <v>32814</v>
      </c>
      <c r="R97" s="10">
        <v>33034</v>
      </c>
      <c r="S97" s="10">
        <v>33057</v>
      </c>
      <c r="T97" s="10">
        <v>33268</v>
      </c>
      <c r="U97" s="10">
        <v>33202</v>
      </c>
      <c r="V97" s="10">
        <v>32752</v>
      </c>
      <c r="Y97" s="9">
        <f t="shared" si="14"/>
        <v>38556</v>
      </c>
      <c r="Z97" s="9">
        <f t="shared" si="14"/>
        <v>38541</v>
      </c>
      <c r="AA97" s="9">
        <f t="shared" si="14"/>
        <v>39392</v>
      </c>
      <c r="AB97" s="9">
        <f t="shared" si="14"/>
        <v>40072</v>
      </c>
      <c r="AC97" s="9">
        <f t="shared" si="14"/>
        <v>40160</v>
      </c>
      <c r="AD97" s="9">
        <f t="shared" si="14"/>
        <v>41285</v>
      </c>
      <c r="AE97" s="9">
        <f t="shared" si="14"/>
        <v>41538</v>
      </c>
      <c r="AF97" s="9">
        <f t="shared" si="14"/>
        <v>41836</v>
      </c>
      <c r="AG97" s="9">
        <f t="shared" si="14"/>
        <v>43569</v>
      </c>
      <c r="AH97" s="9">
        <f t="shared" si="14"/>
        <v>45224</v>
      </c>
      <c r="AI97" s="9">
        <f t="shared" si="15"/>
        <v>46902</v>
      </c>
      <c r="AJ97" s="9">
        <f t="shared" si="15"/>
        <v>48230</v>
      </c>
      <c r="AK97" s="9">
        <f t="shared" si="15"/>
        <v>48766</v>
      </c>
      <c r="AL97" s="9">
        <f t="shared" si="15"/>
        <v>48048</v>
      </c>
      <c r="AM97" s="9">
        <f t="shared" si="15"/>
        <v>47876</v>
      </c>
      <c r="AN97" s="9">
        <f t="shared" si="15"/>
        <v>48369</v>
      </c>
      <c r="AO97" s="9">
        <f t="shared" si="15"/>
        <v>49360</v>
      </c>
      <c r="AP97" s="9">
        <f t="shared" si="15"/>
        <v>48858</v>
      </c>
      <c r="AQ97" s="9">
        <f t="shared" si="15"/>
        <v>48978</v>
      </c>
      <c r="AR97" s="9">
        <f t="shared" si="15"/>
        <v>48789</v>
      </c>
      <c r="AS97" s="9">
        <f>AS96+V97</f>
        <v>48601</v>
      </c>
    </row>
    <row r="98" spans="1:45" ht="12.75">
      <c r="A98" s="11">
        <v>3</v>
      </c>
      <c r="B98" s="9">
        <v>27374</v>
      </c>
      <c r="C98" s="9">
        <v>27871</v>
      </c>
      <c r="D98" s="9">
        <v>28551</v>
      </c>
      <c r="E98" s="9">
        <v>29269</v>
      </c>
      <c r="F98" s="9">
        <v>30061</v>
      </c>
      <c r="G98" s="9">
        <v>30772</v>
      </c>
      <c r="H98" s="9">
        <v>31958</v>
      </c>
      <c r="I98" s="9">
        <v>32706</v>
      </c>
      <c r="J98" s="9">
        <v>34114</v>
      </c>
      <c r="K98" s="9">
        <v>34689</v>
      </c>
      <c r="L98" s="9">
        <v>36592</v>
      </c>
      <c r="M98" s="9">
        <v>38150</v>
      </c>
      <c r="N98" s="9">
        <v>39802</v>
      </c>
      <c r="O98" s="9">
        <v>39404</v>
      </c>
      <c r="P98" s="9">
        <v>40560</v>
      </c>
      <c r="Q98" s="9">
        <v>42421</v>
      </c>
      <c r="R98" s="10">
        <v>43135</v>
      </c>
      <c r="S98" s="10">
        <v>45684</v>
      </c>
      <c r="T98" s="10">
        <v>47629</v>
      </c>
      <c r="U98" s="10">
        <v>47890</v>
      </c>
      <c r="V98" s="10">
        <v>49739</v>
      </c>
      <c r="Y98" s="9">
        <f t="shared" si="14"/>
        <v>65930</v>
      </c>
      <c r="Z98" s="9">
        <f t="shared" si="14"/>
        <v>66412</v>
      </c>
      <c r="AA98" s="9">
        <f t="shared" si="14"/>
        <v>67943</v>
      </c>
      <c r="AB98" s="9">
        <f t="shared" si="14"/>
        <v>69341</v>
      </c>
      <c r="AC98" s="9">
        <f t="shared" si="14"/>
        <v>70221</v>
      </c>
      <c r="AD98" s="9">
        <f t="shared" si="14"/>
        <v>72057</v>
      </c>
      <c r="AE98" s="9">
        <f t="shared" si="14"/>
        <v>73496</v>
      </c>
      <c r="AF98" s="9">
        <f t="shared" si="14"/>
        <v>74542</v>
      </c>
      <c r="AG98" s="9">
        <f t="shared" si="14"/>
        <v>77683</v>
      </c>
      <c r="AH98" s="9">
        <f t="shared" si="14"/>
        <v>79913</v>
      </c>
      <c r="AI98" s="9">
        <f t="shared" si="15"/>
        <v>83494</v>
      </c>
      <c r="AJ98" s="9">
        <f t="shared" si="15"/>
        <v>86380</v>
      </c>
      <c r="AK98" s="9">
        <f t="shared" si="15"/>
        <v>88568</v>
      </c>
      <c r="AL98" s="9">
        <f t="shared" si="15"/>
        <v>87452</v>
      </c>
      <c r="AM98" s="9">
        <f t="shared" si="15"/>
        <v>88436</v>
      </c>
      <c r="AN98" s="9">
        <f t="shared" si="15"/>
        <v>90790</v>
      </c>
      <c r="AO98" s="9">
        <f t="shared" si="15"/>
        <v>92495</v>
      </c>
      <c r="AP98" s="9">
        <f t="shared" si="15"/>
        <v>94542</v>
      </c>
      <c r="AQ98" s="9">
        <f t="shared" si="15"/>
        <v>96607</v>
      </c>
      <c r="AR98" s="9">
        <f t="shared" si="15"/>
        <v>96679</v>
      </c>
      <c r="AS98" s="9">
        <f>AS97+V98</f>
        <v>98340</v>
      </c>
    </row>
    <row r="99" spans="1:45" ht="12.75">
      <c r="A99" s="2" t="s">
        <v>34</v>
      </c>
      <c r="B99" s="9">
        <v>9364</v>
      </c>
      <c r="C99" s="9">
        <v>9538</v>
      </c>
      <c r="D99" s="9">
        <v>9799</v>
      </c>
      <c r="E99" s="9">
        <v>10113</v>
      </c>
      <c r="F99" s="9">
        <v>10502</v>
      </c>
      <c r="G99" s="9">
        <v>10749</v>
      </c>
      <c r="H99" s="9">
        <v>11151</v>
      </c>
      <c r="I99" s="9">
        <v>11498</v>
      </c>
      <c r="J99" s="9">
        <v>11922</v>
      </c>
      <c r="K99" s="9">
        <v>11831</v>
      </c>
      <c r="L99" s="9">
        <v>13339</v>
      </c>
      <c r="M99" s="9">
        <v>13640</v>
      </c>
      <c r="N99" s="9">
        <v>14338</v>
      </c>
      <c r="O99" s="9">
        <v>14687</v>
      </c>
      <c r="P99" s="9">
        <v>15476</v>
      </c>
      <c r="Q99" s="9">
        <v>16102</v>
      </c>
      <c r="R99" s="10">
        <v>17967</v>
      </c>
      <c r="S99" s="10">
        <v>18468</v>
      </c>
      <c r="T99" s="10">
        <v>20184</v>
      </c>
      <c r="U99" s="10">
        <v>21295</v>
      </c>
      <c r="V99" s="10">
        <v>22913</v>
      </c>
      <c r="Y99" s="9">
        <f t="shared" si="14"/>
        <v>75294</v>
      </c>
      <c r="Z99" s="9">
        <f t="shared" si="14"/>
        <v>75950</v>
      </c>
      <c r="AA99" s="9">
        <f t="shared" si="14"/>
        <v>77742</v>
      </c>
      <c r="AB99" s="9">
        <f t="shared" si="14"/>
        <v>79454</v>
      </c>
      <c r="AC99" s="9">
        <f t="shared" si="14"/>
        <v>80723</v>
      </c>
      <c r="AD99" s="9">
        <f t="shared" si="14"/>
        <v>82806</v>
      </c>
      <c r="AE99" s="9">
        <f t="shared" si="14"/>
        <v>84647</v>
      </c>
      <c r="AF99" s="9">
        <f t="shared" si="14"/>
        <v>86040</v>
      </c>
      <c r="AG99" s="9">
        <f t="shared" si="14"/>
        <v>89605</v>
      </c>
      <c r="AH99" s="9">
        <f t="shared" si="14"/>
        <v>91744</v>
      </c>
      <c r="AI99" s="9">
        <f t="shared" si="15"/>
        <v>96833</v>
      </c>
      <c r="AJ99" s="9">
        <f t="shared" si="15"/>
        <v>100020</v>
      </c>
      <c r="AK99" s="9">
        <f t="shared" si="15"/>
        <v>102906</v>
      </c>
      <c r="AL99" s="9">
        <f t="shared" si="15"/>
        <v>102139</v>
      </c>
      <c r="AM99" s="9">
        <f t="shared" si="15"/>
        <v>103912</v>
      </c>
      <c r="AN99" s="9">
        <f t="shared" si="15"/>
        <v>106892</v>
      </c>
      <c r="AO99" s="9">
        <f t="shared" si="15"/>
        <v>110462</v>
      </c>
      <c r="AP99" s="9">
        <f t="shared" si="15"/>
        <v>113010</v>
      </c>
      <c r="AQ99" s="9">
        <f t="shared" si="15"/>
        <v>116791</v>
      </c>
      <c r="AR99" s="9">
        <f t="shared" si="15"/>
        <v>117974</v>
      </c>
      <c r="AS99" s="9">
        <f>AS98+V99</f>
        <v>121253</v>
      </c>
    </row>
    <row r="100" spans="1:45" ht="12.75">
      <c r="A100" s="3" t="s">
        <v>86</v>
      </c>
      <c r="B100" s="30"/>
      <c r="C100" s="30"/>
      <c r="E100" s="30"/>
      <c r="F100" s="30"/>
      <c r="G100" s="30"/>
      <c r="H100" s="30"/>
      <c r="I100" s="30"/>
      <c r="J100" s="30"/>
      <c r="K100" s="30"/>
      <c r="L100" s="30">
        <v>2.5</v>
      </c>
      <c r="M100" s="30">
        <v>2.5</v>
      </c>
      <c r="N100" s="30">
        <v>2.6</v>
      </c>
      <c r="O100" s="30">
        <v>2.6</v>
      </c>
      <c r="P100" s="30">
        <v>2.6</v>
      </c>
      <c r="Q100" s="30">
        <v>2.6</v>
      </c>
      <c r="R100" s="32">
        <v>2.7</v>
      </c>
      <c r="S100" s="10"/>
      <c r="T100" s="10"/>
      <c r="U100" s="10"/>
      <c r="V100" s="10"/>
      <c r="Y100" s="9">
        <f>Y99/2</f>
        <v>37647</v>
      </c>
      <c r="Z100" s="9">
        <f aca="true" t="shared" si="16" ref="Z100:AS100">Z99/2</f>
        <v>37975</v>
      </c>
      <c r="AA100" s="9">
        <f t="shared" si="16"/>
        <v>38871</v>
      </c>
      <c r="AB100" s="9">
        <f t="shared" si="16"/>
        <v>39727</v>
      </c>
      <c r="AC100" s="9">
        <f t="shared" si="16"/>
        <v>40361.5</v>
      </c>
      <c r="AD100" s="9">
        <f t="shared" si="16"/>
        <v>41403</v>
      </c>
      <c r="AE100" s="9">
        <f t="shared" si="16"/>
        <v>42323.5</v>
      </c>
      <c r="AF100" s="9">
        <f t="shared" si="16"/>
        <v>43020</v>
      </c>
      <c r="AG100" s="9">
        <f t="shared" si="16"/>
        <v>44802.5</v>
      </c>
      <c r="AH100" s="9">
        <f t="shared" si="16"/>
        <v>45872</v>
      </c>
      <c r="AI100" s="9">
        <f t="shared" si="16"/>
        <v>48416.5</v>
      </c>
      <c r="AJ100" s="9">
        <f t="shared" si="16"/>
        <v>50010</v>
      </c>
      <c r="AK100" s="9">
        <f t="shared" si="16"/>
        <v>51453</v>
      </c>
      <c r="AL100" s="9">
        <f t="shared" si="16"/>
        <v>51069.5</v>
      </c>
      <c r="AM100" s="9">
        <f t="shared" si="16"/>
        <v>51956</v>
      </c>
      <c r="AN100" s="9">
        <f t="shared" si="16"/>
        <v>53446</v>
      </c>
      <c r="AO100" s="9">
        <f t="shared" si="16"/>
        <v>55231</v>
      </c>
      <c r="AP100" s="9">
        <f t="shared" si="16"/>
        <v>56505</v>
      </c>
      <c r="AQ100" s="9">
        <f t="shared" si="16"/>
        <v>58395.5</v>
      </c>
      <c r="AR100" s="9">
        <f t="shared" si="16"/>
        <v>58987</v>
      </c>
      <c r="AS100" s="9">
        <f t="shared" si="16"/>
        <v>60626.5</v>
      </c>
    </row>
    <row r="101" spans="18:45" ht="12.75">
      <c r="R101" s="10"/>
      <c r="S101" s="10"/>
      <c r="T101" s="10"/>
      <c r="U101" s="10"/>
      <c r="V101" s="10"/>
      <c r="Y101" s="30">
        <f>1.5+(Y100-Y96)/(Y97-Y96)</f>
        <v>2.4643613267466478</v>
      </c>
      <c r="Z101" s="30">
        <f>1.5+(Z100-Z96)/(Z97-Z96)</f>
        <v>2.4778664163929296</v>
      </c>
      <c r="AA101" s="30">
        <f>1.5+(AA100-AA96)/(AA97-AA96)</f>
        <v>2.480159183518032</v>
      </c>
      <c r="AB101" s="30">
        <f>1.5+(AB100-AB96)/(AB97-AB96)</f>
        <v>2.4870471184531633</v>
      </c>
      <c r="AC101" s="30">
        <f aca="true" t="shared" si="17" ref="AC101:AR101">2.5+(AC100-AC97)/(AC98-AC97)</f>
        <v>2.506703037157779</v>
      </c>
      <c r="AD101" s="30">
        <f t="shared" si="17"/>
        <v>2.503834654881061</v>
      </c>
      <c r="AE101" s="30">
        <f t="shared" si="17"/>
        <v>2.524579135114838</v>
      </c>
      <c r="AF101" s="30">
        <f t="shared" si="17"/>
        <v>2.536201308628386</v>
      </c>
      <c r="AG101" s="30">
        <f t="shared" si="17"/>
        <v>2.5361581755291085</v>
      </c>
      <c r="AH101" s="30">
        <f t="shared" si="17"/>
        <v>2.5186802732854794</v>
      </c>
      <c r="AI101" s="30">
        <f t="shared" si="17"/>
        <v>2.5413888281591603</v>
      </c>
      <c r="AJ101" s="30">
        <f t="shared" si="17"/>
        <v>2.5466579292267366</v>
      </c>
      <c r="AK101" s="30">
        <f t="shared" si="17"/>
        <v>2.5675091703934476</v>
      </c>
      <c r="AL101" s="30">
        <f t="shared" si="17"/>
        <v>2.5766800324840116</v>
      </c>
      <c r="AM101" s="30">
        <f t="shared" si="17"/>
        <v>2.600591715976331</v>
      </c>
      <c r="AN101" s="30">
        <f t="shared" si="17"/>
        <v>2.6196812899271587</v>
      </c>
      <c r="AO101" s="30">
        <f t="shared" si="17"/>
        <v>2.6361075692593023</v>
      </c>
      <c r="AP101" s="30">
        <f t="shared" si="17"/>
        <v>2.6673890202258996</v>
      </c>
      <c r="AQ101" s="30">
        <f t="shared" si="17"/>
        <v>2.697726175229377</v>
      </c>
      <c r="AR101" s="30">
        <f t="shared" si="17"/>
        <v>2.712946335351848</v>
      </c>
      <c r="AS101" s="30">
        <f>2.5+(AS100-AS97)/(AS98-AS97)</f>
        <v>2.74177205010153</v>
      </c>
    </row>
    <row r="102" spans="1:40" ht="12.75">
      <c r="A102" s="18" t="s">
        <v>155</v>
      </c>
      <c r="R102" s="10"/>
      <c r="S102" s="10"/>
      <c r="T102" s="10"/>
      <c r="U102" s="10"/>
      <c r="V102" s="10"/>
      <c r="AI102" s="30">
        <v>2.5</v>
      </c>
      <c r="AJ102" s="30">
        <v>2.5</v>
      </c>
      <c r="AK102" s="30">
        <v>2.6</v>
      </c>
      <c r="AL102" s="30">
        <v>2.6</v>
      </c>
      <c r="AM102" s="30">
        <v>2.6</v>
      </c>
      <c r="AN102" s="30">
        <v>2.6</v>
      </c>
    </row>
    <row r="103" spans="1:22" ht="12.75">
      <c r="A103" s="23" t="s">
        <v>33</v>
      </c>
      <c r="B103" s="9">
        <v>4106</v>
      </c>
      <c r="C103" s="9">
        <v>3429</v>
      </c>
      <c r="D103" s="9">
        <v>2975</v>
      </c>
      <c r="E103" s="9">
        <v>2976</v>
      </c>
      <c r="F103" s="9">
        <v>2849</v>
      </c>
      <c r="G103" s="9">
        <v>2832</v>
      </c>
      <c r="H103" s="9">
        <v>2695</v>
      </c>
      <c r="I103" s="9">
        <v>2716</v>
      </c>
      <c r="J103" s="9">
        <v>2770</v>
      </c>
      <c r="K103" s="9">
        <v>2642</v>
      </c>
      <c r="L103" s="9">
        <v>1298</v>
      </c>
      <c r="M103" s="9">
        <v>1159</v>
      </c>
      <c r="N103" s="9">
        <v>1019</v>
      </c>
      <c r="O103" s="9">
        <v>901</v>
      </c>
      <c r="P103" s="9">
        <v>828</v>
      </c>
      <c r="Q103" s="9">
        <v>733</v>
      </c>
      <c r="R103" s="9">
        <v>1260</v>
      </c>
      <c r="S103" s="9">
        <v>1587</v>
      </c>
      <c r="T103" s="9">
        <v>1631</v>
      </c>
      <c r="U103" s="9">
        <v>1762</v>
      </c>
      <c r="V103" s="9">
        <v>1617</v>
      </c>
    </row>
    <row r="104" spans="1:22" ht="12.75">
      <c r="A104" s="23">
        <v>1</v>
      </c>
      <c r="B104" s="9">
        <v>48625</v>
      </c>
      <c r="C104" s="9">
        <v>47846</v>
      </c>
      <c r="D104" s="9">
        <v>48459</v>
      </c>
      <c r="E104" s="9">
        <v>48746</v>
      </c>
      <c r="F104" s="9">
        <v>48959</v>
      </c>
      <c r="G104" s="9">
        <v>50031</v>
      </c>
      <c r="H104" s="9">
        <v>50486</v>
      </c>
      <c r="I104" s="9">
        <v>50686</v>
      </c>
      <c r="J104" s="9">
        <v>52665</v>
      </c>
      <c r="K104" s="9">
        <v>53617</v>
      </c>
      <c r="L104" s="9">
        <v>52762</v>
      </c>
      <c r="M104" s="9">
        <v>52507</v>
      </c>
      <c r="N104" s="9">
        <v>51880</v>
      </c>
      <c r="O104" s="9">
        <v>50262</v>
      </c>
      <c r="P104" s="9">
        <v>49373</v>
      </c>
      <c r="Q104" s="9">
        <v>48996</v>
      </c>
      <c r="R104" s="9">
        <v>50061</v>
      </c>
      <c r="S104" s="9">
        <v>47801</v>
      </c>
      <c r="T104" s="9">
        <v>46980</v>
      </c>
      <c r="U104" s="9">
        <v>46574</v>
      </c>
      <c r="V104" s="9">
        <v>45630</v>
      </c>
    </row>
    <row r="105" spans="1:22" ht="12.75">
      <c r="A105" s="24">
        <v>1.5</v>
      </c>
      <c r="B105" s="9">
        <v>8550</v>
      </c>
      <c r="C105" s="9">
        <v>9423</v>
      </c>
      <c r="D105" s="9">
        <v>10383</v>
      </c>
      <c r="E105" s="9">
        <v>10955</v>
      </c>
      <c r="F105" s="9">
        <v>10868</v>
      </c>
      <c r="G105" s="9">
        <v>11098</v>
      </c>
      <c r="H105" s="9">
        <v>11490</v>
      </c>
      <c r="I105" s="9">
        <v>11783</v>
      </c>
      <c r="J105" s="9">
        <v>12223</v>
      </c>
      <c r="K105" s="9">
        <v>12365</v>
      </c>
      <c r="L105" s="9">
        <v>15845</v>
      </c>
      <c r="M105" s="9">
        <v>16692</v>
      </c>
      <c r="N105" s="9">
        <v>16296</v>
      </c>
      <c r="O105" s="9">
        <v>15395</v>
      </c>
      <c r="P105" s="9">
        <v>15547</v>
      </c>
      <c r="Q105" s="9">
        <v>15650</v>
      </c>
      <c r="R105" s="9">
        <v>15930</v>
      </c>
      <c r="S105" s="9">
        <v>17003</v>
      </c>
      <c r="T105" s="9">
        <v>17561</v>
      </c>
      <c r="U105" s="9">
        <v>17312</v>
      </c>
      <c r="V105" s="9">
        <v>16859</v>
      </c>
    </row>
    <row r="106" spans="1:22" ht="12.75">
      <c r="A106" s="23" t="s">
        <v>91</v>
      </c>
      <c r="B106" s="9">
        <v>14012</v>
      </c>
      <c r="C106" s="9">
        <v>15189</v>
      </c>
      <c r="D106" s="9">
        <v>15736</v>
      </c>
      <c r="E106" s="9">
        <v>16640</v>
      </c>
      <c r="F106" s="9">
        <v>18039</v>
      </c>
      <c r="G106" s="9">
        <v>18872</v>
      </c>
      <c r="H106" s="9">
        <v>19915</v>
      </c>
      <c r="I106" s="9">
        <v>20839</v>
      </c>
      <c r="J106" s="9">
        <v>21952</v>
      </c>
      <c r="K106" s="9">
        <v>23049</v>
      </c>
      <c r="L106" s="9">
        <v>26842</v>
      </c>
      <c r="M106" s="9">
        <v>29457</v>
      </c>
      <c r="N106" s="9">
        <v>33585</v>
      </c>
      <c r="O106" s="9">
        <v>35307</v>
      </c>
      <c r="P106" s="9">
        <v>37774</v>
      </c>
      <c r="Q106" s="9">
        <v>41023</v>
      </c>
      <c r="R106" s="9">
        <v>41939</v>
      </c>
      <c r="S106" s="9">
        <v>45901</v>
      </c>
      <c r="T106" s="9">
        <v>49866</v>
      </c>
      <c r="U106" s="9">
        <v>51563</v>
      </c>
      <c r="V106" s="9">
        <v>56425</v>
      </c>
    </row>
    <row r="107" spans="18:22" ht="12.75">
      <c r="R107" s="10"/>
      <c r="S107" s="10"/>
      <c r="T107" s="10"/>
      <c r="U107" s="10"/>
      <c r="V107" s="10"/>
    </row>
    <row r="108" ht="12.75">
      <c r="A108" s="13" t="s">
        <v>156</v>
      </c>
    </row>
    <row r="109" spans="1:22" ht="12.75">
      <c r="A109" s="3" t="s">
        <v>85</v>
      </c>
      <c r="R109" s="10"/>
      <c r="S109" s="10"/>
      <c r="T109" s="10"/>
      <c r="U109" s="10"/>
      <c r="V109" s="10"/>
    </row>
    <row r="110" spans="1:24" ht="12.75">
      <c r="A110" s="3" t="s">
        <v>160</v>
      </c>
      <c r="B110" s="14" t="s">
        <v>242</v>
      </c>
      <c r="C110" s="14" t="s">
        <v>242</v>
      </c>
      <c r="D110" s="14" t="s">
        <v>242</v>
      </c>
      <c r="E110" s="14" t="s">
        <v>242</v>
      </c>
      <c r="F110" s="14" t="s">
        <v>242</v>
      </c>
      <c r="G110" s="14" t="s">
        <v>242</v>
      </c>
      <c r="H110" s="14" t="s">
        <v>242</v>
      </c>
      <c r="I110" s="14" t="s">
        <v>242</v>
      </c>
      <c r="J110" s="14" t="s">
        <v>242</v>
      </c>
      <c r="K110" s="14" t="s">
        <v>242</v>
      </c>
      <c r="L110" s="9">
        <v>1157</v>
      </c>
      <c r="M110" s="9">
        <v>1033</v>
      </c>
      <c r="N110" s="9">
        <v>998</v>
      </c>
      <c r="O110" s="9">
        <v>941</v>
      </c>
      <c r="P110" s="9">
        <v>915</v>
      </c>
      <c r="Q110" s="9">
        <v>882</v>
      </c>
      <c r="R110" s="10">
        <v>1032</v>
      </c>
      <c r="S110" s="10">
        <v>1043</v>
      </c>
      <c r="T110" s="10">
        <v>879</v>
      </c>
      <c r="U110" s="10">
        <v>890</v>
      </c>
      <c r="V110" s="10">
        <v>822</v>
      </c>
      <c r="W110" s="9">
        <f>L110</f>
        <v>1157</v>
      </c>
      <c r="X110" s="9">
        <f>V110</f>
        <v>822</v>
      </c>
    </row>
    <row r="111" spans="1:24" ht="12.75">
      <c r="A111" s="3" t="s">
        <v>161</v>
      </c>
      <c r="B111" s="14" t="s">
        <v>242</v>
      </c>
      <c r="C111" s="14" t="s">
        <v>242</v>
      </c>
      <c r="D111" s="14" t="s">
        <v>242</v>
      </c>
      <c r="E111" s="14" t="s">
        <v>242</v>
      </c>
      <c r="F111" s="14" t="s">
        <v>242</v>
      </c>
      <c r="G111" s="14" t="s">
        <v>242</v>
      </c>
      <c r="H111" s="14" t="s">
        <v>242</v>
      </c>
      <c r="I111" s="14" t="s">
        <v>242</v>
      </c>
      <c r="J111" s="14" t="s">
        <v>242</v>
      </c>
      <c r="K111" s="14" t="s">
        <v>242</v>
      </c>
      <c r="L111" s="9">
        <v>3565</v>
      </c>
      <c r="M111" s="9">
        <v>3408</v>
      </c>
      <c r="N111" s="9">
        <v>3210</v>
      </c>
      <c r="O111" s="9">
        <v>3022</v>
      </c>
      <c r="P111" s="9">
        <v>2866</v>
      </c>
      <c r="Q111" s="9">
        <v>2811</v>
      </c>
      <c r="R111" s="10">
        <v>2808</v>
      </c>
      <c r="S111" s="10">
        <v>2668</v>
      </c>
      <c r="T111" s="10">
        <v>2490</v>
      </c>
      <c r="U111" s="10">
        <v>2564</v>
      </c>
      <c r="V111" s="10">
        <v>2198</v>
      </c>
      <c r="W111" s="9">
        <f aca="true" t="shared" si="18" ref="W111:W119">W110+L111</f>
        <v>4722</v>
      </c>
      <c r="X111" s="9">
        <f aca="true" t="shared" si="19" ref="X111:X119">X110+V111</f>
        <v>3020</v>
      </c>
    </row>
    <row r="112" spans="1:24" ht="12.75">
      <c r="A112" s="3" t="s">
        <v>162</v>
      </c>
      <c r="B112" s="14" t="s">
        <v>242</v>
      </c>
      <c r="C112" s="14" t="s">
        <v>242</v>
      </c>
      <c r="D112" s="14" t="s">
        <v>242</v>
      </c>
      <c r="E112" s="14" t="s">
        <v>242</v>
      </c>
      <c r="F112" s="14" t="s">
        <v>242</v>
      </c>
      <c r="G112" s="14" t="s">
        <v>242</v>
      </c>
      <c r="H112" s="14" t="s">
        <v>242</v>
      </c>
      <c r="I112" s="14" t="s">
        <v>242</v>
      </c>
      <c r="J112" s="14" t="s">
        <v>242</v>
      </c>
      <c r="K112" s="14" t="s">
        <v>242</v>
      </c>
      <c r="L112" s="9">
        <v>6859</v>
      </c>
      <c r="M112" s="9">
        <v>6788</v>
      </c>
      <c r="N112" s="9">
        <v>6651</v>
      </c>
      <c r="O112" s="9">
        <v>6451</v>
      </c>
      <c r="P112" s="9">
        <v>6311</v>
      </c>
      <c r="Q112" s="9">
        <v>6283</v>
      </c>
      <c r="R112" s="10">
        <v>6212</v>
      </c>
      <c r="S112" s="10">
        <v>6122</v>
      </c>
      <c r="T112" s="10">
        <v>6390</v>
      </c>
      <c r="U112" s="10">
        <v>6177</v>
      </c>
      <c r="V112" s="10">
        <v>5748</v>
      </c>
      <c r="W112" s="9">
        <f t="shared" si="18"/>
        <v>11581</v>
      </c>
      <c r="X112" s="9">
        <f t="shared" si="19"/>
        <v>8768</v>
      </c>
    </row>
    <row r="113" spans="1:24" ht="12.75">
      <c r="A113" s="21" t="s">
        <v>163</v>
      </c>
      <c r="B113" s="14" t="s">
        <v>242</v>
      </c>
      <c r="C113" s="14" t="s">
        <v>242</v>
      </c>
      <c r="D113" s="14" t="s">
        <v>242</v>
      </c>
      <c r="E113" s="14" t="s">
        <v>242</v>
      </c>
      <c r="F113" s="14" t="s">
        <v>242</v>
      </c>
      <c r="G113" s="14" t="s">
        <v>242</v>
      </c>
      <c r="H113" s="14" t="s">
        <v>242</v>
      </c>
      <c r="I113" s="14" t="s">
        <v>242</v>
      </c>
      <c r="J113" s="14" t="s">
        <v>242</v>
      </c>
      <c r="K113" s="14" t="s">
        <v>242</v>
      </c>
      <c r="L113" s="9">
        <v>16158</v>
      </c>
      <c r="M113" s="9">
        <v>16011</v>
      </c>
      <c r="N113" s="9">
        <v>16413</v>
      </c>
      <c r="O113" s="9">
        <v>15741</v>
      </c>
      <c r="P113" s="9">
        <v>16019</v>
      </c>
      <c r="Q113" s="9">
        <v>16335</v>
      </c>
      <c r="R113" s="9">
        <v>16562</v>
      </c>
      <c r="S113" s="9">
        <v>18577</v>
      </c>
      <c r="T113" s="9">
        <v>19812</v>
      </c>
      <c r="U113" s="9">
        <v>19816</v>
      </c>
      <c r="V113" s="9">
        <v>19691</v>
      </c>
      <c r="W113" s="9">
        <f t="shared" si="18"/>
        <v>27739</v>
      </c>
      <c r="X113" s="9">
        <f t="shared" si="19"/>
        <v>28459</v>
      </c>
    </row>
    <row r="114" spans="1:24" ht="12.75">
      <c r="A114" s="20" t="s">
        <v>164</v>
      </c>
      <c r="B114" s="14" t="s">
        <v>242</v>
      </c>
      <c r="C114" s="14" t="s">
        <v>242</v>
      </c>
      <c r="D114" s="14" t="s">
        <v>242</v>
      </c>
      <c r="E114" s="14" t="s">
        <v>242</v>
      </c>
      <c r="F114" s="14" t="s">
        <v>242</v>
      </c>
      <c r="G114" s="14" t="s">
        <v>242</v>
      </c>
      <c r="H114" s="14" t="s">
        <v>242</v>
      </c>
      <c r="I114" s="14" t="s">
        <v>242</v>
      </c>
      <c r="J114" s="14" t="s">
        <v>242</v>
      </c>
      <c r="K114" s="14" t="s">
        <v>242</v>
      </c>
      <c r="L114" s="9">
        <v>13081</v>
      </c>
      <c r="M114" s="9">
        <v>13301</v>
      </c>
      <c r="N114" s="9">
        <v>13794</v>
      </c>
      <c r="O114" s="9">
        <v>13603</v>
      </c>
      <c r="P114" s="9">
        <v>14024</v>
      </c>
      <c r="Q114" s="9">
        <v>14374</v>
      </c>
      <c r="R114" s="9">
        <v>14811</v>
      </c>
      <c r="S114" s="9">
        <v>16929</v>
      </c>
      <c r="T114" s="9">
        <v>18325</v>
      </c>
      <c r="U114" s="9">
        <v>18505</v>
      </c>
      <c r="V114" s="9">
        <v>19171</v>
      </c>
      <c r="W114" s="9">
        <f t="shared" si="18"/>
        <v>40820</v>
      </c>
      <c r="X114" s="9">
        <f t="shared" si="19"/>
        <v>47630</v>
      </c>
    </row>
    <row r="115" spans="1:24" ht="12.75">
      <c r="A115" s="20" t="s">
        <v>165</v>
      </c>
      <c r="B115" s="14" t="s">
        <v>242</v>
      </c>
      <c r="C115" s="14" t="s">
        <v>242</v>
      </c>
      <c r="D115" s="14" t="s">
        <v>242</v>
      </c>
      <c r="E115" s="14" t="s">
        <v>242</v>
      </c>
      <c r="F115" s="14" t="s">
        <v>242</v>
      </c>
      <c r="G115" s="14" t="s">
        <v>242</v>
      </c>
      <c r="H115" s="14" t="s">
        <v>242</v>
      </c>
      <c r="I115" s="14" t="s">
        <v>242</v>
      </c>
      <c r="J115" s="14" t="s">
        <v>242</v>
      </c>
      <c r="K115" s="14" t="s">
        <v>242</v>
      </c>
      <c r="L115" s="9">
        <v>9163</v>
      </c>
      <c r="M115" s="9">
        <v>9135</v>
      </c>
      <c r="N115" s="9">
        <v>9809</v>
      </c>
      <c r="O115" s="9">
        <v>9500</v>
      </c>
      <c r="P115" s="9">
        <v>10048</v>
      </c>
      <c r="Q115" s="9">
        <v>10275</v>
      </c>
      <c r="R115" s="9">
        <v>10567</v>
      </c>
      <c r="S115" s="9">
        <v>11217</v>
      </c>
      <c r="T115" s="9">
        <v>12165</v>
      </c>
      <c r="U115" s="9">
        <v>12405</v>
      </c>
      <c r="V115" s="9">
        <v>13225</v>
      </c>
      <c r="W115" s="9">
        <f t="shared" si="18"/>
        <v>49983</v>
      </c>
      <c r="X115" s="9">
        <f t="shared" si="19"/>
        <v>60855</v>
      </c>
    </row>
    <row r="116" spans="1:24" ht="12.75">
      <c r="A116" s="20" t="s">
        <v>166</v>
      </c>
      <c r="B116" s="14" t="s">
        <v>242</v>
      </c>
      <c r="C116" s="14" t="s">
        <v>242</v>
      </c>
      <c r="D116" s="14" t="s">
        <v>242</v>
      </c>
      <c r="E116" s="14" t="s">
        <v>242</v>
      </c>
      <c r="F116" s="14" t="s">
        <v>242</v>
      </c>
      <c r="G116" s="14" t="s">
        <v>242</v>
      </c>
      <c r="H116" s="14" t="s">
        <v>242</v>
      </c>
      <c r="I116" s="14" t="s">
        <v>242</v>
      </c>
      <c r="J116" s="14" t="s">
        <v>242</v>
      </c>
      <c r="K116" s="14" t="s">
        <v>242</v>
      </c>
      <c r="L116" s="9">
        <v>4823</v>
      </c>
      <c r="M116" s="9">
        <v>4869</v>
      </c>
      <c r="N116" s="9">
        <v>5281</v>
      </c>
      <c r="O116" s="9">
        <v>5118</v>
      </c>
      <c r="P116" s="9">
        <v>5551</v>
      </c>
      <c r="Q116" s="9">
        <v>5700</v>
      </c>
      <c r="R116" s="9">
        <v>5898</v>
      </c>
      <c r="S116" s="9">
        <v>5719</v>
      </c>
      <c r="T116" s="9">
        <v>6215</v>
      </c>
      <c r="U116" s="9">
        <v>6348</v>
      </c>
      <c r="V116" s="9">
        <v>6869</v>
      </c>
      <c r="W116" s="9">
        <f t="shared" si="18"/>
        <v>54806</v>
      </c>
      <c r="X116" s="9">
        <f t="shared" si="19"/>
        <v>67724</v>
      </c>
    </row>
    <row r="117" spans="1:24" ht="12.75">
      <c r="A117" s="20" t="s">
        <v>167</v>
      </c>
      <c r="B117" s="14" t="s">
        <v>242</v>
      </c>
      <c r="C117" s="14" t="s">
        <v>242</v>
      </c>
      <c r="D117" s="14" t="s">
        <v>242</v>
      </c>
      <c r="E117" s="14" t="s">
        <v>242</v>
      </c>
      <c r="F117" s="14" t="s">
        <v>242</v>
      </c>
      <c r="G117" s="14" t="s">
        <v>242</v>
      </c>
      <c r="H117" s="14" t="s">
        <v>242</v>
      </c>
      <c r="I117" s="14" t="s">
        <v>242</v>
      </c>
      <c r="J117" s="14" t="s">
        <v>242</v>
      </c>
      <c r="K117" s="14" t="s">
        <v>242</v>
      </c>
      <c r="L117" s="9">
        <v>4187</v>
      </c>
      <c r="M117" s="9">
        <v>4226</v>
      </c>
      <c r="N117" s="9">
        <v>4693</v>
      </c>
      <c r="O117" s="9">
        <v>4600</v>
      </c>
      <c r="P117" s="9">
        <v>4940</v>
      </c>
      <c r="Q117" s="9">
        <v>5123</v>
      </c>
      <c r="R117" s="9">
        <v>5424</v>
      </c>
      <c r="S117" s="9">
        <v>5103</v>
      </c>
      <c r="T117" s="9">
        <v>5464</v>
      </c>
      <c r="U117" s="9">
        <v>5706</v>
      </c>
      <c r="V117" s="9">
        <v>6335</v>
      </c>
      <c r="W117" s="9">
        <f t="shared" si="18"/>
        <v>58993</v>
      </c>
      <c r="X117" s="9">
        <f t="shared" si="19"/>
        <v>74059</v>
      </c>
    </row>
    <row r="118" spans="1:24" ht="12.75">
      <c r="A118" s="13" t="s">
        <v>168</v>
      </c>
      <c r="B118" s="14" t="s">
        <v>242</v>
      </c>
      <c r="C118" s="14" t="s">
        <v>242</v>
      </c>
      <c r="D118" s="14" t="s">
        <v>242</v>
      </c>
      <c r="E118" s="14" t="s">
        <v>242</v>
      </c>
      <c r="F118" s="14" t="s">
        <v>242</v>
      </c>
      <c r="G118" s="14" t="s">
        <v>242</v>
      </c>
      <c r="H118" s="14" t="s">
        <v>242</v>
      </c>
      <c r="I118" s="14" t="s">
        <v>242</v>
      </c>
      <c r="J118" s="14" t="s">
        <v>242</v>
      </c>
      <c r="K118" s="14" t="s">
        <v>242</v>
      </c>
      <c r="L118" s="9">
        <v>2264</v>
      </c>
      <c r="M118" s="9">
        <v>2436</v>
      </c>
      <c r="N118" s="9">
        <v>2542</v>
      </c>
      <c r="O118" s="9">
        <v>2684</v>
      </c>
      <c r="P118" s="9">
        <v>2812</v>
      </c>
      <c r="Q118" s="9">
        <v>2907</v>
      </c>
      <c r="R118" s="9">
        <v>3180</v>
      </c>
      <c r="S118" s="9">
        <v>3307</v>
      </c>
      <c r="T118" s="9">
        <v>2992</v>
      </c>
      <c r="U118" s="9">
        <v>3349</v>
      </c>
      <c r="V118" s="9">
        <v>3894</v>
      </c>
      <c r="W118" s="9">
        <f t="shared" si="18"/>
        <v>61257</v>
      </c>
      <c r="X118" s="9">
        <f t="shared" si="19"/>
        <v>77953</v>
      </c>
    </row>
    <row r="119" spans="1:25" ht="12.75">
      <c r="A119" s="13" t="s">
        <v>136</v>
      </c>
      <c r="B119" s="14" t="s">
        <v>242</v>
      </c>
      <c r="C119" s="14" t="s">
        <v>242</v>
      </c>
      <c r="D119" s="14" t="s">
        <v>242</v>
      </c>
      <c r="E119" s="14" t="s">
        <v>242</v>
      </c>
      <c r="F119" s="14" t="s">
        <v>242</v>
      </c>
      <c r="G119" s="14" t="s">
        <v>242</v>
      </c>
      <c r="H119" s="14" t="s">
        <v>242</v>
      </c>
      <c r="I119" s="14" t="s">
        <v>242</v>
      </c>
      <c r="J119" s="14" t="s">
        <v>242</v>
      </c>
      <c r="K119" s="14" t="s">
        <v>242</v>
      </c>
      <c r="L119" s="9">
        <v>2894</v>
      </c>
      <c r="M119" s="9">
        <v>4874</v>
      </c>
      <c r="N119" s="9">
        <v>4696</v>
      </c>
      <c r="O119" s="9">
        <v>5644</v>
      </c>
      <c r="P119" s="9">
        <v>5398</v>
      </c>
      <c r="Q119" s="9">
        <v>6561</v>
      </c>
      <c r="R119" s="9">
        <v>7355</v>
      </c>
      <c r="S119" s="9">
        <v>5699</v>
      </c>
      <c r="T119" s="9">
        <v>5045</v>
      </c>
      <c r="U119" s="9">
        <v>5265</v>
      </c>
      <c r="V119" s="9">
        <v>5451</v>
      </c>
      <c r="W119" s="9">
        <f t="shared" si="18"/>
        <v>64151</v>
      </c>
      <c r="X119" s="9">
        <f t="shared" si="19"/>
        <v>83404</v>
      </c>
      <c r="Y119" s="31">
        <f>(X119-W119)/W119</f>
        <v>0.3001200293058565</v>
      </c>
    </row>
    <row r="120" spans="1:23" ht="12.75">
      <c r="A120" s="13" t="s">
        <v>86</v>
      </c>
      <c r="B120" s="14" t="s">
        <v>242</v>
      </c>
      <c r="C120" s="14" t="s">
        <v>242</v>
      </c>
      <c r="D120" s="14" t="s">
        <v>242</v>
      </c>
      <c r="E120" s="14" t="s">
        <v>242</v>
      </c>
      <c r="F120" s="14" t="s">
        <v>242</v>
      </c>
      <c r="G120" s="14" t="s">
        <v>242</v>
      </c>
      <c r="H120" s="14" t="s">
        <v>242</v>
      </c>
      <c r="I120" s="14" t="s">
        <v>242</v>
      </c>
      <c r="J120" s="14" t="s">
        <v>242</v>
      </c>
      <c r="K120" s="14" t="s">
        <v>242</v>
      </c>
      <c r="L120" s="9">
        <v>1610</v>
      </c>
      <c r="M120" s="9">
        <v>1626</v>
      </c>
      <c r="N120" s="9">
        <v>1660</v>
      </c>
      <c r="O120" s="9">
        <v>1672</v>
      </c>
      <c r="P120" s="9">
        <v>1701</v>
      </c>
      <c r="Q120" s="9">
        <v>1710</v>
      </c>
      <c r="R120" s="9">
        <v>1724</v>
      </c>
      <c r="S120" s="9">
        <v>1705</v>
      </c>
      <c r="T120" s="9">
        <v>1713</v>
      </c>
      <c r="U120" s="9">
        <v>1728</v>
      </c>
      <c r="V120" s="9">
        <v>1774</v>
      </c>
      <c r="W120" s="31">
        <f>(V120-L120)/L120</f>
        <v>0.10186335403726708</v>
      </c>
    </row>
    <row r="121" spans="1:22" ht="12.75">
      <c r="A121" s="13"/>
      <c r="L121" s="31">
        <f aca="true" t="shared" si="20" ref="L121:V121">SUM(L110:L120)/L21</f>
        <v>0.6797072837962149</v>
      </c>
      <c r="M121" s="31">
        <f t="shared" si="20"/>
        <v>0.6783249010669739</v>
      </c>
      <c r="N121" s="31">
        <f t="shared" si="20"/>
        <v>0.678604786923526</v>
      </c>
      <c r="O121" s="31">
        <f t="shared" si="20"/>
        <v>0.6771381449776173</v>
      </c>
      <c r="P121" s="31">
        <f t="shared" si="20"/>
        <v>0.6818357450590212</v>
      </c>
      <c r="Q121" s="31">
        <f t="shared" si="20"/>
        <v>0.685704350441247</v>
      </c>
      <c r="R121" s="31">
        <f t="shared" si="20"/>
        <v>0.6921174822100723</v>
      </c>
      <c r="S121" s="31">
        <f t="shared" si="20"/>
        <v>0.695410180600577</v>
      </c>
      <c r="T121" s="31">
        <f t="shared" si="20"/>
        <v>0.7022699460521553</v>
      </c>
      <c r="U121" s="31">
        <f t="shared" si="20"/>
        <v>0.7060173533200809</v>
      </c>
      <c r="V121" s="31">
        <f t="shared" si="20"/>
        <v>0.7066837022533435</v>
      </c>
    </row>
    <row r="122" spans="1:22" ht="12.75">
      <c r="A122" s="13" t="s">
        <v>157</v>
      </c>
      <c r="R122" s="10"/>
      <c r="S122" s="10"/>
      <c r="T122" s="10"/>
      <c r="U122" s="10"/>
      <c r="V122" s="10"/>
    </row>
    <row r="123" spans="1:22" ht="12.75">
      <c r="A123" s="13" t="s">
        <v>169</v>
      </c>
      <c r="B123" s="14" t="s">
        <v>242</v>
      </c>
      <c r="C123" s="14" t="s">
        <v>242</v>
      </c>
      <c r="D123" s="14" t="s">
        <v>242</v>
      </c>
      <c r="E123" s="14" t="s">
        <v>242</v>
      </c>
      <c r="F123" s="14" t="s">
        <v>242</v>
      </c>
      <c r="G123" s="14" t="s">
        <v>242</v>
      </c>
      <c r="H123" s="14" t="s">
        <v>242</v>
      </c>
      <c r="I123" s="14" t="s">
        <v>242</v>
      </c>
      <c r="J123" s="14" t="s">
        <v>242</v>
      </c>
      <c r="K123" s="14" t="s">
        <v>242</v>
      </c>
      <c r="L123" s="9">
        <v>7325</v>
      </c>
      <c r="M123" s="9">
        <v>7152</v>
      </c>
      <c r="N123" s="9">
        <v>6556</v>
      </c>
      <c r="O123" s="9">
        <v>6669</v>
      </c>
      <c r="P123" s="9">
        <v>6851</v>
      </c>
      <c r="Q123" s="9">
        <v>6497</v>
      </c>
      <c r="R123" s="10">
        <v>11448</v>
      </c>
      <c r="S123" s="10">
        <v>11389</v>
      </c>
      <c r="T123" s="10">
        <v>12148</v>
      </c>
      <c r="U123" s="10">
        <v>11983</v>
      </c>
      <c r="V123" s="10">
        <v>11853</v>
      </c>
    </row>
    <row r="124" spans="1:22" ht="12.75">
      <c r="A124" s="13" t="s">
        <v>170</v>
      </c>
      <c r="B124" s="14" t="s">
        <v>242</v>
      </c>
      <c r="C124" s="14" t="s">
        <v>242</v>
      </c>
      <c r="D124" s="14" t="s">
        <v>242</v>
      </c>
      <c r="E124" s="14" t="s">
        <v>242</v>
      </c>
      <c r="F124" s="14" t="s">
        <v>242</v>
      </c>
      <c r="G124" s="14" t="s">
        <v>242</v>
      </c>
      <c r="H124" s="14" t="s">
        <v>242</v>
      </c>
      <c r="I124" s="14" t="s">
        <v>242</v>
      </c>
      <c r="J124" s="14" t="s">
        <v>242</v>
      </c>
      <c r="K124" s="14" t="s">
        <v>242</v>
      </c>
      <c r="L124" s="9">
        <v>14069</v>
      </c>
      <c r="M124" s="9">
        <v>13065</v>
      </c>
      <c r="N124" s="9">
        <v>12481</v>
      </c>
      <c r="O124" s="9">
        <v>12633</v>
      </c>
      <c r="P124" s="9">
        <v>12374</v>
      </c>
      <c r="Q124" s="9">
        <v>12519</v>
      </c>
      <c r="R124" s="10">
        <v>21459</v>
      </c>
      <c r="S124" s="10">
        <v>25241</v>
      </c>
      <c r="T124" s="10">
        <v>23806</v>
      </c>
      <c r="U124" s="10">
        <v>24261</v>
      </c>
      <c r="V124" s="10">
        <v>24720</v>
      </c>
    </row>
    <row r="125" spans="1:22" ht="12.75">
      <c r="A125" s="13" t="s">
        <v>171</v>
      </c>
      <c r="B125" s="14" t="s">
        <v>242</v>
      </c>
      <c r="C125" s="14" t="s">
        <v>242</v>
      </c>
      <c r="D125" s="14" t="s">
        <v>242</v>
      </c>
      <c r="E125" s="14" t="s">
        <v>242</v>
      </c>
      <c r="F125" s="14" t="s">
        <v>242</v>
      </c>
      <c r="G125" s="14" t="s">
        <v>242</v>
      </c>
      <c r="H125" s="14" t="s">
        <v>242</v>
      </c>
      <c r="I125" s="14" t="s">
        <v>242</v>
      </c>
      <c r="J125" s="14" t="s">
        <v>242</v>
      </c>
      <c r="K125" s="14" t="s">
        <v>242</v>
      </c>
      <c r="L125" s="9">
        <v>9332</v>
      </c>
      <c r="M125" s="9">
        <v>9385</v>
      </c>
      <c r="N125" s="9">
        <v>9386</v>
      </c>
      <c r="O125" s="9">
        <v>9572</v>
      </c>
      <c r="P125" s="9">
        <v>10030</v>
      </c>
      <c r="Q125" s="9">
        <v>10245</v>
      </c>
      <c r="R125" s="10">
        <v>15096</v>
      </c>
      <c r="S125" s="10">
        <v>12830</v>
      </c>
      <c r="T125" s="10">
        <v>16791</v>
      </c>
      <c r="U125" s="10">
        <v>16322</v>
      </c>
      <c r="V125" s="10">
        <v>17376</v>
      </c>
    </row>
    <row r="126" spans="1:22" ht="12.75">
      <c r="A126" s="13" t="s">
        <v>87</v>
      </c>
      <c r="B126" s="14" t="s">
        <v>242</v>
      </c>
      <c r="C126" s="14" t="s">
        <v>242</v>
      </c>
      <c r="D126" s="14" t="s">
        <v>242</v>
      </c>
      <c r="E126" s="14" t="s">
        <v>242</v>
      </c>
      <c r="F126" s="14" t="s">
        <v>242</v>
      </c>
      <c r="G126" s="14" t="s">
        <v>242</v>
      </c>
      <c r="H126" s="14" t="s">
        <v>242</v>
      </c>
      <c r="I126" s="14" t="s">
        <v>242</v>
      </c>
      <c r="J126" s="14" t="s">
        <v>242</v>
      </c>
      <c r="K126" s="14" t="s">
        <v>242</v>
      </c>
      <c r="L126" s="9">
        <v>6036</v>
      </c>
      <c r="M126" s="9">
        <v>6297</v>
      </c>
      <c r="N126" s="9">
        <v>6395</v>
      </c>
      <c r="O126" s="9">
        <v>7064</v>
      </c>
      <c r="P126" s="9">
        <v>7117</v>
      </c>
      <c r="Q126" s="9">
        <v>7505</v>
      </c>
      <c r="R126" s="10">
        <v>9572</v>
      </c>
      <c r="S126" s="10">
        <v>11217</v>
      </c>
      <c r="T126" s="10">
        <v>11143</v>
      </c>
      <c r="U126" s="10">
        <v>11108</v>
      </c>
      <c r="V126" s="10">
        <v>11450</v>
      </c>
    </row>
    <row r="127" spans="1:22" ht="12.75">
      <c r="A127" s="13" t="s">
        <v>88</v>
      </c>
      <c r="B127" s="14" t="s">
        <v>242</v>
      </c>
      <c r="C127" s="14" t="s">
        <v>242</v>
      </c>
      <c r="D127" s="14" t="s">
        <v>242</v>
      </c>
      <c r="E127" s="14" t="s">
        <v>242</v>
      </c>
      <c r="F127" s="14" t="s">
        <v>242</v>
      </c>
      <c r="G127" s="14" t="s">
        <v>242</v>
      </c>
      <c r="H127" s="14" t="s">
        <v>242</v>
      </c>
      <c r="I127" s="14" t="s">
        <v>242</v>
      </c>
      <c r="J127" s="14" t="s">
        <v>242</v>
      </c>
      <c r="K127" s="14" t="s">
        <v>242</v>
      </c>
      <c r="L127" s="9">
        <v>8908</v>
      </c>
      <c r="M127" s="9">
        <v>9555</v>
      </c>
      <c r="N127" s="9">
        <v>9724</v>
      </c>
      <c r="O127" s="9">
        <v>10098</v>
      </c>
      <c r="P127" s="9">
        <v>10685</v>
      </c>
      <c r="Q127" s="9">
        <v>10608</v>
      </c>
      <c r="R127" s="9">
        <v>13839</v>
      </c>
      <c r="S127" s="9">
        <v>14661</v>
      </c>
      <c r="T127" s="9">
        <v>15177</v>
      </c>
      <c r="U127" s="9">
        <v>15548</v>
      </c>
      <c r="V127" s="9">
        <v>15838</v>
      </c>
    </row>
    <row r="128" spans="1:22" ht="12.75">
      <c r="A128" s="13" t="s">
        <v>89</v>
      </c>
      <c r="B128" s="14" t="s">
        <v>242</v>
      </c>
      <c r="C128" s="14" t="s">
        <v>242</v>
      </c>
      <c r="D128" s="14" t="s">
        <v>242</v>
      </c>
      <c r="E128" s="14" t="s">
        <v>242</v>
      </c>
      <c r="F128" s="14" t="s">
        <v>242</v>
      </c>
      <c r="G128" s="14" t="s">
        <v>242</v>
      </c>
      <c r="H128" s="14" t="s">
        <v>242</v>
      </c>
      <c r="I128" s="14" t="s">
        <v>242</v>
      </c>
      <c r="J128" s="14" t="s">
        <v>242</v>
      </c>
      <c r="K128" s="14" t="s">
        <v>242</v>
      </c>
      <c r="L128" s="9">
        <v>1454</v>
      </c>
      <c r="M128" s="9">
        <v>1603</v>
      </c>
      <c r="N128" s="9">
        <v>1547</v>
      </c>
      <c r="O128" s="9">
        <v>1714</v>
      </c>
      <c r="P128" s="9">
        <v>1667</v>
      </c>
      <c r="Q128" s="9">
        <v>1748</v>
      </c>
      <c r="R128" s="9">
        <v>2086</v>
      </c>
      <c r="S128" s="9">
        <v>2601</v>
      </c>
      <c r="T128" s="9">
        <v>2451</v>
      </c>
      <c r="U128" s="9">
        <v>2481</v>
      </c>
      <c r="V128" s="9">
        <v>2534</v>
      </c>
    </row>
    <row r="129" spans="1:22" ht="12.75">
      <c r="A129" s="13" t="s">
        <v>90</v>
      </c>
      <c r="B129" s="14" t="s">
        <v>242</v>
      </c>
      <c r="C129" s="14" t="s">
        <v>242</v>
      </c>
      <c r="D129" s="14" t="s">
        <v>242</v>
      </c>
      <c r="E129" s="14" t="s">
        <v>242</v>
      </c>
      <c r="F129" s="14" t="s">
        <v>242</v>
      </c>
      <c r="G129" s="14" t="s">
        <v>242</v>
      </c>
      <c r="H129" s="14" t="s">
        <v>242</v>
      </c>
      <c r="I129" s="14" t="s">
        <v>242</v>
      </c>
      <c r="J129" s="14" t="s">
        <v>242</v>
      </c>
      <c r="K129" s="14" t="s">
        <v>242</v>
      </c>
      <c r="L129" s="9">
        <v>3920</v>
      </c>
      <c r="M129" s="9">
        <v>3902</v>
      </c>
      <c r="N129" s="9">
        <v>3936</v>
      </c>
      <c r="O129" s="9">
        <v>3830</v>
      </c>
      <c r="P129" s="9">
        <v>3682</v>
      </c>
      <c r="Q129" s="9">
        <v>3716</v>
      </c>
      <c r="R129" s="9">
        <v>4034</v>
      </c>
      <c r="S129" s="9">
        <v>4117</v>
      </c>
      <c r="T129" s="9">
        <v>4152</v>
      </c>
      <c r="U129" s="9">
        <v>4207</v>
      </c>
      <c r="V129" s="9">
        <v>4247</v>
      </c>
    </row>
    <row r="130" spans="1:22" ht="12.75">
      <c r="A130" s="13" t="s">
        <v>136</v>
      </c>
      <c r="B130" s="14" t="s">
        <v>242</v>
      </c>
      <c r="C130" s="14" t="s">
        <v>242</v>
      </c>
      <c r="D130" s="14" t="s">
        <v>242</v>
      </c>
      <c r="E130" s="14" t="s">
        <v>242</v>
      </c>
      <c r="F130" s="14" t="s">
        <v>242</v>
      </c>
      <c r="G130" s="14" t="s">
        <v>242</v>
      </c>
      <c r="H130" s="14" t="s">
        <v>242</v>
      </c>
      <c r="I130" s="14" t="s">
        <v>242</v>
      </c>
      <c r="J130" s="14" t="s">
        <v>242</v>
      </c>
      <c r="K130" s="14" t="s">
        <v>242</v>
      </c>
      <c r="L130" s="9">
        <v>15318</v>
      </c>
      <c r="M130" s="9">
        <v>18260</v>
      </c>
      <c r="N130" s="9">
        <v>21045</v>
      </c>
      <c r="O130" s="9">
        <v>19425</v>
      </c>
      <c r="P130" s="9">
        <v>19878</v>
      </c>
      <c r="Q130" s="9">
        <v>22169</v>
      </c>
      <c r="R130" s="9">
        <f>R49+R50+R57-SUM(R123:R129)</f>
        <v>2938</v>
      </c>
      <c r="S130" s="9">
        <f>S49+S50+S57-SUM(S123:S129)</f>
        <v>2155</v>
      </c>
      <c r="T130" s="9">
        <f>T49+T50+T57-SUM(T123:T129)</f>
        <v>2369</v>
      </c>
      <c r="U130" s="9">
        <f>U49+U50+U57-SUM(U123:U129)</f>
        <v>2137</v>
      </c>
      <c r="V130" s="9">
        <f>V49+V50+V57-SUM(V123:V129)</f>
        <v>2233</v>
      </c>
    </row>
    <row r="131" spans="1:22" ht="12.75">
      <c r="A131" s="13" t="s">
        <v>86</v>
      </c>
      <c r="B131" s="14" t="s">
        <v>242</v>
      </c>
      <c r="C131" s="14" t="s">
        <v>242</v>
      </c>
      <c r="D131" s="14" t="s">
        <v>242</v>
      </c>
      <c r="E131" s="14" t="s">
        <v>242</v>
      </c>
      <c r="F131" s="14" t="s">
        <v>242</v>
      </c>
      <c r="G131" s="14" t="s">
        <v>242</v>
      </c>
      <c r="H131" s="14" t="s">
        <v>242</v>
      </c>
      <c r="I131" s="14" t="s">
        <v>242</v>
      </c>
      <c r="J131" s="14" t="s">
        <v>242</v>
      </c>
      <c r="K131" s="14" t="s">
        <v>242</v>
      </c>
      <c r="L131" s="22">
        <v>0.36</v>
      </c>
      <c r="M131" s="22">
        <v>0.39</v>
      </c>
      <c r="N131" s="22">
        <v>0.41</v>
      </c>
      <c r="O131" s="22">
        <v>0.42</v>
      </c>
      <c r="P131" s="22">
        <v>0.42</v>
      </c>
      <c r="Q131" s="22">
        <v>0.43</v>
      </c>
      <c r="R131" s="22">
        <v>0.35</v>
      </c>
      <c r="S131" s="22">
        <v>0.34</v>
      </c>
      <c r="T131" s="22">
        <v>0.35</v>
      </c>
      <c r="U131" s="22">
        <v>0.35</v>
      </c>
      <c r="V131" s="22">
        <v>0.36</v>
      </c>
    </row>
    <row r="132" spans="12:22" ht="12.75">
      <c r="L132" s="31">
        <f aca="true" t="shared" si="21" ref="L132:V132">SUM(L123:L129)/L21</f>
        <v>0.5275920164549505</v>
      </c>
      <c r="M132" s="31">
        <f t="shared" si="21"/>
        <v>0.510534488804288</v>
      </c>
      <c r="N132" s="31">
        <f t="shared" si="21"/>
        <v>0.4867192060712201</v>
      </c>
      <c r="O132" s="31">
        <f t="shared" si="21"/>
        <v>0.5063614230739024</v>
      </c>
      <c r="P132" s="31">
        <f t="shared" si="21"/>
        <v>0.5062305596877958</v>
      </c>
      <c r="Q132" s="31">
        <f t="shared" si="21"/>
        <v>0.4965837429395788</v>
      </c>
      <c r="R132" s="31">
        <f>SUM(R123:R129)/R21</f>
        <v>0.7100768378346201</v>
      </c>
      <c r="S132" s="31">
        <f t="shared" si="21"/>
        <v>0.7307377195169736</v>
      </c>
      <c r="T132" s="31">
        <f t="shared" si="21"/>
        <v>0.7382753925438219</v>
      </c>
      <c r="U132" s="31">
        <f t="shared" si="21"/>
        <v>0.7329516854220167</v>
      </c>
      <c r="V132" s="31">
        <f t="shared" si="21"/>
        <v>0.7302459097998871</v>
      </c>
    </row>
    <row r="133" spans="1:17" ht="12.75">
      <c r="A133" s="25" t="s">
        <v>92</v>
      </c>
      <c r="L133" s="9">
        <f aca="true" t="shared" si="22" ref="L133:Q133">L49+L50+L57-SUM(L123:L129)</f>
        <v>17576</v>
      </c>
      <c r="M133" s="9">
        <f t="shared" si="22"/>
        <v>20581</v>
      </c>
      <c r="N133" s="9">
        <f t="shared" si="22"/>
        <v>23672</v>
      </c>
      <c r="O133" s="9">
        <f t="shared" si="22"/>
        <v>21849</v>
      </c>
      <c r="P133" s="9">
        <f t="shared" si="22"/>
        <v>22443</v>
      </c>
      <c r="Q133" s="9">
        <f t="shared" si="22"/>
        <v>24585</v>
      </c>
    </row>
    <row r="135" spans="1:22" ht="12.75">
      <c r="A135" s="4" t="s">
        <v>75</v>
      </c>
      <c r="R135" s="10"/>
      <c r="S135" s="10"/>
      <c r="T135" s="10"/>
      <c r="U135" s="10"/>
      <c r="V135" s="10"/>
    </row>
    <row r="136" spans="1:22" ht="12.75">
      <c r="A136" s="4" t="s">
        <v>172</v>
      </c>
      <c r="B136" s="9">
        <v>6553</v>
      </c>
      <c r="C136" s="9">
        <v>5740</v>
      </c>
      <c r="D136" s="9">
        <v>4744</v>
      </c>
      <c r="E136" s="9">
        <v>4103</v>
      </c>
      <c r="F136" s="9">
        <v>3199</v>
      </c>
      <c r="G136" s="9">
        <v>2789</v>
      </c>
      <c r="H136" s="9">
        <v>2359</v>
      </c>
      <c r="I136" s="9">
        <v>1990</v>
      </c>
      <c r="J136" s="9">
        <v>1753</v>
      </c>
      <c r="K136" s="9">
        <v>1197</v>
      </c>
      <c r="L136" s="9">
        <v>981</v>
      </c>
      <c r="M136" s="9">
        <v>776</v>
      </c>
      <c r="N136" s="9">
        <v>802</v>
      </c>
      <c r="O136" s="9">
        <v>615</v>
      </c>
      <c r="P136" s="9">
        <v>551</v>
      </c>
      <c r="Q136" s="9">
        <v>488</v>
      </c>
      <c r="R136" s="10">
        <v>589</v>
      </c>
      <c r="S136" s="10">
        <v>401</v>
      </c>
      <c r="T136" s="10">
        <v>453</v>
      </c>
      <c r="U136" s="10">
        <v>298</v>
      </c>
      <c r="V136" s="10">
        <v>306</v>
      </c>
    </row>
    <row r="137" spans="1:22" ht="12.75">
      <c r="A137" s="4" t="s">
        <v>173</v>
      </c>
      <c r="B137" s="9">
        <v>12648</v>
      </c>
      <c r="C137" s="9">
        <v>12793</v>
      </c>
      <c r="D137" s="9">
        <v>12688</v>
      </c>
      <c r="E137" s="9">
        <v>12195</v>
      </c>
      <c r="F137" s="9">
        <v>10989</v>
      </c>
      <c r="G137" s="9">
        <v>9665</v>
      </c>
      <c r="H137" s="9">
        <v>8371</v>
      </c>
      <c r="I137" s="9">
        <v>6605</v>
      </c>
      <c r="J137" s="9">
        <v>5361</v>
      </c>
      <c r="K137" s="9">
        <v>4071</v>
      </c>
      <c r="L137" s="9">
        <v>3438</v>
      </c>
      <c r="M137" s="9">
        <v>2790</v>
      </c>
      <c r="N137" s="9">
        <v>2780</v>
      </c>
      <c r="O137" s="9">
        <v>2252</v>
      </c>
      <c r="P137" s="9">
        <v>2079</v>
      </c>
      <c r="Q137" s="9">
        <v>1786</v>
      </c>
      <c r="R137" s="10">
        <v>1808</v>
      </c>
      <c r="S137" s="10">
        <v>1509</v>
      </c>
      <c r="T137" s="10">
        <v>1272</v>
      </c>
      <c r="U137" s="10">
        <v>1283</v>
      </c>
      <c r="V137" s="10">
        <v>1228</v>
      </c>
    </row>
    <row r="138" spans="1:22" ht="12.75">
      <c r="A138" s="4" t="s">
        <v>174</v>
      </c>
      <c r="B138" s="1"/>
      <c r="C138" s="1"/>
      <c r="D138" s="9">
        <v>3478</v>
      </c>
      <c r="E138" s="9">
        <v>4266</v>
      </c>
      <c r="F138" s="9">
        <v>5064</v>
      </c>
      <c r="G138" s="9">
        <v>5504</v>
      </c>
      <c r="H138" s="9">
        <v>5353</v>
      </c>
      <c r="I138" s="9">
        <v>4985</v>
      </c>
      <c r="J138" s="9">
        <v>4432</v>
      </c>
      <c r="K138" s="9">
        <v>3485</v>
      </c>
      <c r="L138" s="9">
        <v>2668</v>
      </c>
      <c r="M138" s="9">
        <v>2211</v>
      </c>
      <c r="N138" s="9">
        <v>1981</v>
      </c>
      <c r="O138" s="9">
        <v>1420</v>
      </c>
      <c r="P138" s="9">
        <v>1424</v>
      </c>
      <c r="Q138" s="9">
        <v>1183</v>
      </c>
      <c r="R138" s="10">
        <v>984</v>
      </c>
      <c r="S138" s="10">
        <v>786</v>
      </c>
      <c r="T138" s="10">
        <v>804</v>
      </c>
      <c r="U138" s="10">
        <v>829</v>
      </c>
      <c r="V138" s="10">
        <v>748</v>
      </c>
    </row>
    <row r="139" spans="1:22" ht="12.75">
      <c r="A139" s="4" t="s">
        <v>175</v>
      </c>
      <c r="D139" s="9">
        <v>1546</v>
      </c>
      <c r="E139" s="9">
        <v>1900</v>
      </c>
      <c r="F139" s="9">
        <v>2743</v>
      </c>
      <c r="G139" s="9">
        <v>3501</v>
      </c>
      <c r="H139" s="9">
        <v>4058</v>
      </c>
      <c r="I139" s="9">
        <v>4487</v>
      </c>
      <c r="J139" s="9">
        <v>4418</v>
      </c>
      <c r="K139" s="9">
        <v>3892</v>
      </c>
      <c r="L139" s="9">
        <v>3250</v>
      </c>
      <c r="M139" s="9">
        <v>2859</v>
      </c>
      <c r="N139" s="9">
        <v>2400</v>
      </c>
      <c r="O139" s="9">
        <v>2003</v>
      </c>
      <c r="P139" s="9">
        <v>1728</v>
      </c>
      <c r="Q139" s="9">
        <v>1358</v>
      </c>
      <c r="R139" s="10">
        <v>1169</v>
      </c>
      <c r="S139" s="10">
        <v>1034</v>
      </c>
      <c r="T139" s="10">
        <v>841</v>
      </c>
      <c r="U139" s="10">
        <v>772</v>
      </c>
      <c r="V139" s="10">
        <v>640</v>
      </c>
    </row>
    <row r="140" spans="1:22" ht="12.75">
      <c r="A140" s="4" t="s">
        <v>176</v>
      </c>
      <c r="D140" s="9">
        <v>628</v>
      </c>
      <c r="E140" s="9">
        <v>812</v>
      </c>
      <c r="F140" s="9">
        <v>1211</v>
      </c>
      <c r="G140" s="9">
        <v>1699</v>
      </c>
      <c r="H140" s="9">
        <v>2264</v>
      </c>
      <c r="I140" s="9">
        <v>3056</v>
      </c>
      <c r="J140" s="9">
        <v>3810</v>
      </c>
      <c r="K140" s="9">
        <v>3910</v>
      </c>
      <c r="L140" s="9">
        <v>3748</v>
      </c>
      <c r="M140" s="9">
        <v>3295</v>
      </c>
      <c r="N140" s="9">
        <v>3162</v>
      </c>
      <c r="O140" s="9">
        <v>2591</v>
      </c>
      <c r="P140" s="9">
        <v>2071</v>
      </c>
      <c r="Q140" s="9">
        <v>1890</v>
      </c>
      <c r="R140" s="10">
        <v>1668</v>
      </c>
      <c r="S140" s="10">
        <v>1444</v>
      </c>
      <c r="T140" s="10">
        <v>1057</v>
      </c>
      <c r="U140" s="10">
        <v>968</v>
      </c>
      <c r="V140" s="10">
        <v>811</v>
      </c>
    </row>
    <row r="141" spans="1:22" ht="12.75">
      <c r="A141" s="4" t="s">
        <v>177</v>
      </c>
      <c r="G141" s="9">
        <v>824</v>
      </c>
      <c r="H141" s="9">
        <v>1236</v>
      </c>
      <c r="I141" s="9">
        <v>1793</v>
      </c>
      <c r="J141" s="9">
        <v>2573</v>
      </c>
      <c r="K141" s="9">
        <v>3441</v>
      </c>
      <c r="L141" s="9">
        <v>3674</v>
      </c>
      <c r="M141" s="9">
        <v>3468</v>
      </c>
      <c r="N141" s="9">
        <v>3217</v>
      </c>
      <c r="O141" s="9">
        <v>2843</v>
      </c>
      <c r="P141" s="9">
        <v>2741</v>
      </c>
      <c r="Q141" s="9">
        <v>2395</v>
      </c>
      <c r="R141" s="10">
        <v>2140</v>
      </c>
      <c r="S141" s="10">
        <v>1896</v>
      </c>
      <c r="T141" s="10">
        <v>1385</v>
      </c>
      <c r="U141" s="10">
        <v>1276</v>
      </c>
      <c r="V141" s="10">
        <v>1048</v>
      </c>
    </row>
    <row r="142" spans="1:22" ht="12.75">
      <c r="A142" s="4" t="s">
        <v>184</v>
      </c>
      <c r="G142" s="9">
        <v>430</v>
      </c>
      <c r="H142" s="9">
        <v>682</v>
      </c>
      <c r="I142" s="9">
        <v>1065</v>
      </c>
      <c r="J142" s="9">
        <v>1598</v>
      </c>
      <c r="K142" s="9">
        <v>2527</v>
      </c>
      <c r="L142" s="9">
        <v>3251</v>
      </c>
      <c r="M142" s="9">
        <v>3208</v>
      </c>
      <c r="N142" s="9">
        <v>3000</v>
      </c>
      <c r="O142" s="9">
        <v>3019</v>
      </c>
      <c r="P142" s="9">
        <v>2850</v>
      </c>
      <c r="Q142" s="9">
        <v>2805</v>
      </c>
      <c r="R142" s="10">
        <v>2394</v>
      </c>
      <c r="S142" s="10">
        <v>2159</v>
      </c>
      <c r="T142" s="10">
        <v>1859</v>
      </c>
      <c r="U142" s="10">
        <v>1629</v>
      </c>
      <c r="V142" s="10">
        <v>1512</v>
      </c>
    </row>
    <row r="143" spans="1:22" ht="12.75">
      <c r="A143" s="4" t="s">
        <v>185</v>
      </c>
      <c r="G143" s="9">
        <v>240</v>
      </c>
      <c r="H143" s="9">
        <v>382</v>
      </c>
      <c r="I143" s="9">
        <v>539</v>
      </c>
      <c r="J143" s="9">
        <v>1039</v>
      </c>
      <c r="K143" s="9">
        <v>1685</v>
      </c>
      <c r="L143" s="9">
        <v>2386</v>
      </c>
      <c r="M143" s="9">
        <v>2780</v>
      </c>
      <c r="N143" s="9">
        <v>2672</v>
      </c>
      <c r="O143" s="9">
        <v>2861</v>
      </c>
      <c r="P143" s="9">
        <v>2851</v>
      </c>
      <c r="Q143" s="9">
        <v>2840</v>
      </c>
      <c r="R143" s="10">
        <v>2551</v>
      </c>
      <c r="S143" s="10">
        <v>2495</v>
      </c>
      <c r="T143" s="10">
        <v>2052</v>
      </c>
      <c r="U143" s="10">
        <v>2095</v>
      </c>
      <c r="V143" s="10">
        <v>1841</v>
      </c>
    </row>
    <row r="144" spans="1:22" ht="12.75">
      <c r="A144" s="4" t="s">
        <v>178</v>
      </c>
      <c r="G144" s="9">
        <v>189</v>
      </c>
      <c r="H144" s="9">
        <v>348</v>
      </c>
      <c r="I144" s="9">
        <v>607</v>
      </c>
      <c r="J144" s="9">
        <v>972</v>
      </c>
      <c r="K144" s="9">
        <v>1862</v>
      </c>
      <c r="L144" s="9">
        <v>3151</v>
      </c>
      <c r="M144" s="9">
        <v>4023</v>
      </c>
      <c r="N144" s="9">
        <v>4388</v>
      </c>
      <c r="O144" s="9">
        <v>4641</v>
      </c>
      <c r="P144" s="9">
        <v>4817</v>
      </c>
      <c r="Q144" s="9">
        <v>5076</v>
      </c>
      <c r="R144" s="10">
        <v>5327</v>
      </c>
      <c r="S144" s="10">
        <v>5289</v>
      </c>
      <c r="T144" s="10">
        <v>4686</v>
      </c>
      <c r="U144" s="10">
        <v>4366</v>
      </c>
      <c r="V144" s="10">
        <v>3897</v>
      </c>
    </row>
    <row r="145" spans="1:22" ht="12.75">
      <c r="A145" s="4" t="s">
        <v>179</v>
      </c>
      <c r="G145" s="9">
        <v>72</v>
      </c>
      <c r="H145" s="9">
        <v>99</v>
      </c>
      <c r="I145" s="9">
        <v>242</v>
      </c>
      <c r="J145" s="9">
        <v>446</v>
      </c>
      <c r="K145" s="9">
        <v>848</v>
      </c>
      <c r="L145" s="9">
        <v>1703</v>
      </c>
      <c r="M145" s="9">
        <v>2223</v>
      </c>
      <c r="N145" s="9">
        <v>2983</v>
      </c>
      <c r="O145" s="9">
        <v>3252</v>
      </c>
      <c r="P145" s="9">
        <v>3683</v>
      </c>
      <c r="Q145" s="9">
        <v>4188</v>
      </c>
      <c r="R145" s="10">
        <v>4365</v>
      </c>
      <c r="S145" s="10">
        <v>4554</v>
      </c>
      <c r="T145" s="10">
        <v>4559</v>
      </c>
      <c r="U145" s="10">
        <v>4252</v>
      </c>
      <c r="V145" s="10">
        <v>4099</v>
      </c>
    </row>
    <row r="146" spans="1:22" ht="12.75">
      <c r="A146" s="4" t="s">
        <v>180</v>
      </c>
      <c r="G146" s="1"/>
      <c r="H146" s="1"/>
      <c r="I146" s="1"/>
      <c r="J146" s="1"/>
      <c r="K146" s="1"/>
      <c r="L146" s="9">
        <v>835</v>
      </c>
      <c r="M146" s="9">
        <v>1208</v>
      </c>
      <c r="N146" s="9">
        <v>1692</v>
      </c>
      <c r="O146" s="9">
        <v>2078</v>
      </c>
      <c r="P146" s="9">
        <v>2382</v>
      </c>
      <c r="Q146" s="9">
        <v>2910</v>
      </c>
      <c r="R146" s="10">
        <v>3162</v>
      </c>
      <c r="S146" s="10">
        <v>3414</v>
      </c>
      <c r="T146" s="10">
        <v>3682</v>
      </c>
      <c r="U146" s="10">
        <v>3762</v>
      </c>
      <c r="V146" s="10">
        <v>3694</v>
      </c>
    </row>
    <row r="147" spans="1:22" ht="12.75">
      <c r="A147" s="4" t="s">
        <v>181</v>
      </c>
      <c r="L147" s="9">
        <v>678</v>
      </c>
      <c r="M147" s="9">
        <v>1149</v>
      </c>
      <c r="N147" s="9">
        <v>1545</v>
      </c>
      <c r="O147" s="9">
        <v>1945</v>
      </c>
      <c r="P147" s="9">
        <v>2257</v>
      </c>
      <c r="Q147" s="9">
        <v>2856</v>
      </c>
      <c r="R147" s="10">
        <v>3133</v>
      </c>
      <c r="S147" s="10">
        <v>3681</v>
      </c>
      <c r="T147" s="10">
        <v>4526</v>
      </c>
      <c r="U147" s="10">
        <v>4612</v>
      </c>
      <c r="V147" s="10">
        <v>5273</v>
      </c>
    </row>
    <row r="148" spans="1:22" ht="12.75">
      <c r="A148" s="4" t="s">
        <v>182</v>
      </c>
      <c r="L148" s="9">
        <v>318</v>
      </c>
      <c r="M148" s="9">
        <v>374</v>
      </c>
      <c r="N148" s="9">
        <v>528</v>
      </c>
      <c r="O148" s="9">
        <v>765</v>
      </c>
      <c r="P148" s="9">
        <v>971</v>
      </c>
      <c r="Q148" s="9">
        <v>1244</v>
      </c>
      <c r="R148" s="10">
        <v>1395</v>
      </c>
      <c r="S148" s="10">
        <v>1779</v>
      </c>
      <c r="T148" s="10">
        <v>2363</v>
      </c>
      <c r="U148" s="10">
        <v>2787</v>
      </c>
      <c r="V148" s="10">
        <v>3178</v>
      </c>
    </row>
    <row r="149" spans="1:22" ht="12.75">
      <c r="A149" s="4" t="s">
        <v>183</v>
      </c>
      <c r="L149" s="9">
        <v>111</v>
      </c>
      <c r="M149" s="9">
        <v>157</v>
      </c>
      <c r="N149" s="9">
        <v>234</v>
      </c>
      <c r="O149" s="9">
        <v>296</v>
      </c>
      <c r="P149" s="9">
        <v>379</v>
      </c>
      <c r="Q149" s="9">
        <v>420</v>
      </c>
      <c r="R149" s="10">
        <v>556</v>
      </c>
      <c r="S149" s="10">
        <v>652</v>
      </c>
      <c r="T149" s="10">
        <v>1046</v>
      </c>
      <c r="U149" s="10">
        <v>1167</v>
      </c>
      <c r="V149" s="10">
        <v>1644</v>
      </c>
    </row>
    <row r="150" spans="1:22" ht="12.75">
      <c r="A150" s="4" t="s">
        <v>186</v>
      </c>
      <c r="L150" s="9">
        <v>57</v>
      </c>
      <c r="M150" s="9">
        <v>139</v>
      </c>
      <c r="N150" s="9">
        <v>155</v>
      </c>
      <c r="O150" s="9">
        <v>244</v>
      </c>
      <c r="P150" s="9">
        <v>275</v>
      </c>
      <c r="Q150" s="9">
        <v>365</v>
      </c>
      <c r="R150" s="10">
        <v>589</v>
      </c>
      <c r="S150" s="10">
        <v>813</v>
      </c>
      <c r="T150" s="10">
        <v>1209</v>
      </c>
      <c r="U150" s="10">
        <v>1291</v>
      </c>
      <c r="V150" s="10">
        <v>1886</v>
      </c>
    </row>
    <row r="151" spans="1:22" ht="12.75">
      <c r="A151" s="4" t="s">
        <v>76</v>
      </c>
      <c r="B151" s="9">
        <v>1628</v>
      </c>
      <c r="C151" s="9">
        <v>1173</v>
      </c>
      <c r="D151" s="9">
        <v>1267</v>
      </c>
      <c r="E151" s="9">
        <v>1277</v>
      </c>
      <c r="F151" s="9">
        <v>1308</v>
      </c>
      <c r="G151" s="9">
        <v>1285</v>
      </c>
      <c r="H151" s="9">
        <v>1287</v>
      </c>
      <c r="I151" s="9">
        <v>1313</v>
      </c>
      <c r="J151" s="9">
        <v>1326</v>
      </c>
      <c r="K151" s="9">
        <v>1401</v>
      </c>
      <c r="L151" s="9">
        <v>2032</v>
      </c>
      <c r="M151" s="9">
        <v>2065</v>
      </c>
      <c r="N151" s="9">
        <v>2229</v>
      </c>
      <c r="O151" s="9">
        <v>2526</v>
      </c>
      <c r="P151" s="9">
        <v>2414</v>
      </c>
      <c r="Q151" s="9">
        <v>2344</v>
      </c>
      <c r="R151" s="10">
        <v>2171</v>
      </c>
      <c r="S151" s="10">
        <v>2100</v>
      </c>
      <c r="T151" s="10">
        <v>2201</v>
      </c>
      <c r="U151" s="10">
        <v>2218</v>
      </c>
      <c r="V151" s="10">
        <v>2134</v>
      </c>
    </row>
    <row r="152" spans="1:22" ht="12.75">
      <c r="A152" s="4" t="s">
        <v>251</v>
      </c>
      <c r="B152" s="9">
        <v>3520</v>
      </c>
      <c r="C152" s="9">
        <v>4585</v>
      </c>
      <c r="R152" s="10"/>
      <c r="S152" s="10"/>
      <c r="T152" s="10"/>
      <c r="U152" s="10"/>
      <c r="V152" s="10"/>
    </row>
    <row r="153" spans="1:22" ht="12.75">
      <c r="A153" s="4" t="s">
        <v>143</v>
      </c>
      <c r="B153" s="1"/>
      <c r="C153" s="1"/>
      <c r="D153" s="9">
        <v>610</v>
      </c>
      <c r="E153" s="10">
        <v>866</v>
      </c>
      <c r="F153" s="10">
        <v>1300</v>
      </c>
      <c r="G153" s="10"/>
      <c r="H153" s="10"/>
      <c r="I153" s="10"/>
      <c r="J153" s="10"/>
      <c r="K153" s="10"/>
      <c r="L153" s="10">
        <v>16164</v>
      </c>
      <c r="M153" s="10">
        <v>18729</v>
      </c>
      <c r="N153" s="10">
        <v>20414</v>
      </c>
      <c r="O153" s="10">
        <v>21944</v>
      </c>
      <c r="P153" s="10">
        <v>23206</v>
      </c>
      <c r="Q153" s="10">
        <v>25099</v>
      </c>
      <c r="R153" s="10">
        <v>25612</v>
      </c>
      <c r="S153" s="10">
        <v>26732</v>
      </c>
      <c r="T153" s="10">
        <v>27367</v>
      </c>
      <c r="U153" s="10">
        <v>27237</v>
      </c>
      <c r="V153" s="10">
        <v>28072</v>
      </c>
    </row>
    <row r="154" spans="1:22" ht="12.75">
      <c r="A154" s="4" t="s">
        <v>329</v>
      </c>
      <c r="B154" s="1"/>
      <c r="C154" s="1"/>
      <c r="E154" s="10"/>
      <c r="F154" s="10"/>
      <c r="G154" s="10">
        <v>49</v>
      </c>
      <c r="H154" s="10">
        <v>108</v>
      </c>
      <c r="I154" s="10">
        <v>190</v>
      </c>
      <c r="J154" s="10">
        <v>394</v>
      </c>
      <c r="K154" s="10">
        <v>895</v>
      </c>
      <c r="L154" s="10">
        <f aca="true" t="shared" si="23" ref="L154:V154">SUM(L146:L150)</f>
        <v>1999</v>
      </c>
      <c r="M154" s="10">
        <f t="shared" si="23"/>
        <v>3027</v>
      </c>
      <c r="N154" s="10">
        <f t="shared" si="23"/>
        <v>4154</v>
      </c>
      <c r="O154" s="10">
        <f t="shared" si="23"/>
        <v>5328</v>
      </c>
      <c r="P154" s="10">
        <f t="shared" si="23"/>
        <v>6264</v>
      </c>
      <c r="Q154" s="10">
        <f t="shared" si="23"/>
        <v>7795</v>
      </c>
      <c r="R154" s="10">
        <f t="shared" si="23"/>
        <v>8835</v>
      </c>
      <c r="S154" s="10">
        <f t="shared" si="23"/>
        <v>10339</v>
      </c>
      <c r="T154" s="10">
        <f t="shared" si="23"/>
        <v>12826</v>
      </c>
      <c r="U154" s="10">
        <f t="shared" si="23"/>
        <v>13619</v>
      </c>
      <c r="V154" s="10">
        <f t="shared" si="23"/>
        <v>15675</v>
      </c>
    </row>
    <row r="155" spans="1:22" ht="12.75">
      <c r="A155" s="4" t="s">
        <v>93</v>
      </c>
      <c r="B155" s="37">
        <v>133</v>
      </c>
      <c r="C155" s="37">
        <v>143</v>
      </c>
      <c r="D155" s="37">
        <v>156</v>
      </c>
      <c r="E155" s="37">
        <v>167</v>
      </c>
      <c r="F155" s="37">
        <v>184</v>
      </c>
      <c r="G155" s="37">
        <v>200</v>
      </c>
      <c r="H155" s="37">
        <v>217</v>
      </c>
      <c r="I155" s="37">
        <v>241</v>
      </c>
      <c r="J155" s="37">
        <v>270</v>
      </c>
      <c r="K155" s="37">
        <v>315</v>
      </c>
      <c r="L155" s="37">
        <v>364</v>
      </c>
      <c r="M155" s="37">
        <v>399</v>
      </c>
      <c r="N155" s="37">
        <v>424</v>
      </c>
      <c r="O155" s="37">
        <v>462</v>
      </c>
      <c r="P155" s="37">
        <v>487</v>
      </c>
      <c r="Q155" s="37">
        <v>523</v>
      </c>
      <c r="R155" s="37">
        <v>549</v>
      </c>
      <c r="S155" s="37">
        <v>580</v>
      </c>
      <c r="T155" s="37">
        <v>633</v>
      </c>
      <c r="U155" s="37">
        <v>651</v>
      </c>
      <c r="V155" s="37">
        <v>694</v>
      </c>
    </row>
    <row r="156" spans="1:22" ht="12.75">
      <c r="A156" s="8" t="s">
        <v>254</v>
      </c>
      <c r="B156" s="9">
        <v>24348</v>
      </c>
      <c r="C156" s="9">
        <v>24292</v>
      </c>
      <c r="D156" s="9">
        <v>24959</v>
      </c>
      <c r="E156" s="9">
        <v>25420</v>
      </c>
      <c r="F156" s="9">
        <v>25815</v>
      </c>
      <c r="G156" s="9">
        <v>26247</v>
      </c>
      <c r="H156" s="9">
        <v>26550</v>
      </c>
      <c r="I156" s="9">
        <v>26874</v>
      </c>
      <c r="J156" s="9">
        <v>28123</v>
      </c>
      <c r="K156" s="9">
        <v>29214</v>
      </c>
      <c r="L156" s="64">
        <f>L40</f>
        <v>32280</v>
      </c>
      <c r="M156" s="64">
        <f aca="true" t="shared" si="24" ref="M156:V156">M40</f>
        <v>32724</v>
      </c>
      <c r="N156" s="64">
        <f t="shared" si="24"/>
        <v>33767</v>
      </c>
      <c r="O156" s="64">
        <f t="shared" si="24"/>
        <v>33351</v>
      </c>
      <c r="P156" s="64">
        <f t="shared" si="24"/>
        <v>33472</v>
      </c>
      <c r="Q156" s="64">
        <f t="shared" si="24"/>
        <v>34150</v>
      </c>
      <c r="R156" s="64">
        <f t="shared" si="24"/>
        <v>34000</v>
      </c>
      <c r="S156" s="64">
        <f t="shared" si="24"/>
        <v>34007</v>
      </c>
      <c r="T156" s="64">
        <f t="shared" si="24"/>
        <v>33996</v>
      </c>
      <c r="U156" s="64">
        <f t="shared" si="24"/>
        <v>33604</v>
      </c>
      <c r="V156" s="64">
        <f t="shared" si="24"/>
        <v>33940</v>
      </c>
    </row>
    <row r="158" ht="12.75">
      <c r="A158" s="4" t="s">
        <v>187</v>
      </c>
    </row>
    <row r="159" spans="1:22" ht="12.75">
      <c r="A159" s="4" t="s">
        <v>76</v>
      </c>
      <c r="B159" s="9">
        <v>1628</v>
      </c>
      <c r="C159" s="9">
        <v>1173</v>
      </c>
      <c r="D159" s="9">
        <v>1267</v>
      </c>
      <c r="E159" s="9">
        <v>1277</v>
      </c>
      <c r="F159" s="9">
        <v>1308</v>
      </c>
      <c r="G159" s="9">
        <v>1285</v>
      </c>
      <c r="H159" s="9">
        <v>1287</v>
      </c>
      <c r="I159" s="9">
        <v>1313</v>
      </c>
      <c r="J159" s="9">
        <v>1326</v>
      </c>
      <c r="K159" s="9">
        <v>1401</v>
      </c>
      <c r="L159" s="9">
        <v>2032</v>
      </c>
      <c r="M159" s="9">
        <v>2065</v>
      </c>
      <c r="N159" s="9">
        <v>2229</v>
      </c>
      <c r="O159" s="9">
        <v>2526</v>
      </c>
      <c r="P159" s="9">
        <v>2414</v>
      </c>
      <c r="Q159" s="9">
        <v>2344</v>
      </c>
      <c r="R159" s="9">
        <v>2171</v>
      </c>
      <c r="S159" s="9">
        <v>2100</v>
      </c>
      <c r="T159" s="9">
        <v>2201</v>
      </c>
      <c r="U159" s="9">
        <v>2218</v>
      </c>
      <c r="V159" s="9">
        <v>2134</v>
      </c>
    </row>
    <row r="160" spans="1:22" ht="12.75">
      <c r="A160" s="25" t="s">
        <v>255</v>
      </c>
      <c r="B160" s="9">
        <v>1855</v>
      </c>
      <c r="C160" s="9">
        <v>1943</v>
      </c>
      <c r="D160" s="9">
        <v>1710</v>
      </c>
      <c r="E160" s="9">
        <v>1567</v>
      </c>
      <c r="F160" s="9">
        <v>1461</v>
      </c>
      <c r="G160" s="9">
        <v>1337</v>
      </c>
      <c r="H160" s="9">
        <v>1249</v>
      </c>
      <c r="I160" s="9">
        <v>1231</v>
      </c>
      <c r="J160" s="9">
        <v>1131</v>
      </c>
      <c r="K160" s="9">
        <v>1077</v>
      </c>
      <c r="L160" s="9">
        <v>1219</v>
      </c>
      <c r="M160" s="9">
        <v>1123</v>
      </c>
      <c r="N160" s="9">
        <v>1373</v>
      </c>
      <c r="O160" s="9">
        <v>1251</v>
      </c>
      <c r="P160" s="9">
        <v>1045</v>
      </c>
      <c r="Q160" s="9">
        <v>1129</v>
      </c>
      <c r="R160" s="9">
        <v>1567</v>
      </c>
      <c r="S160" s="9">
        <v>1496</v>
      </c>
      <c r="T160" s="9">
        <v>1447</v>
      </c>
      <c r="U160" s="9">
        <v>1356</v>
      </c>
      <c r="V160" s="9">
        <v>1178</v>
      </c>
    </row>
    <row r="161" spans="1:22" ht="12.75">
      <c r="A161" s="4" t="s">
        <v>190</v>
      </c>
      <c r="B161" s="9">
        <v>3849</v>
      </c>
      <c r="C161" s="9">
        <v>3803</v>
      </c>
      <c r="D161" s="9">
        <v>3599</v>
      </c>
      <c r="E161" s="9">
        <v>3529</v>
      </c>
      <c r="F161" s="9">
        <v>3229</v>
      </c>
      <c r="G161" s="9">
        <v>3277</v>
      </c>
      <c r="H161" s="9">
        <v>2962</v>
      </c>
      <c r="I161" s="9">
        <v>2833</v>
      </c>
      <c r="J161" s="9">
        <v>2852</v>
      </c>
      <c r="K161" s="9">
        <v>2792</v>
      </c>
      <c r="L161" s="9">
        <v>3012</v>
      </c>
      <c r="M161" s="9">
        <v>2634</v>
      </c>
      <c r="N161" s="9">
        <v>3218</v>
      </c>
      <c r="O161" s="9">
        <v>2735</v>
      </c>
      <c r="P161" s="9">
        <v>2848</v>
      </c>
      <c r="Q161" s="9">
        <v>2741</v>
      </c>
      <c r="R161" s="9">
        <v>2900</v>
      </c>
      <c r="S161" s="9">
        <v>3122</v>
      </c>
      <c r="T161" s="9">
        <v>2850</v>
      </c>
      <c r="U161" s="9">
        <v>2542</v>
      </c>
      <c r="V161" s="9">
        <v>2359</v>
      </c>
    </row>
    <row r="162" spans="1:22" ht="12.75">
      <c r="A162" s="4" t="s">
        <v>200</v>
      </c>
      <c r="B162" s="9">
        <v>4238</v>
      </c>
      <c r="C162" s="9">
        <v>4240</v>
      </c>
      <c r="D162" s="9">
        <v>4095</v>
      </c>
      <c r="E162" s="9">
        <v>4146</v>
      </c>
      <c r="F162" s="9">
        <v>4152</v>
      </c>
      <c r="G162" s="9">
        <v>4081</v>
      </c>
      <c r="H162" s="9">
        <v>4109</v>
      </c>
      <c r="I162" s="9">
        <v>4015</v>
      </c>
      <c r="J162" s="9">
        <v>4084</v>
      </c>
      <c r="K162" s="9">
        <v>3815</v>
      </c>
      <c r="L162" s="9">
        <v>4300</v>
      </c>
      <c r="M162" s="9">
        <v>3891</v>
      </c>
      <c r="N162" s="9">
        <v>4451</v>
      </c>
      <c r="O162" s="9">
        <v>4265</v>
      </c>
      <c r="P162" s="9">
        <v>4083</v>
      </c>
      <c r="Q162" s="9">
        <v>4035</v>
      </c>
      <c r="R162" s="9">
        <v>4139</v>
      </c>
      <c r="S162" s="9">
        <v>4226</v>
      </c>
      <c r="T162" s="9">
        <v>3966</v>
      </c>
      <c r="U162" s="9">
        <v>3521</v>
      </c>
      <c r="V162" s="9">
        <v>3462</v>
      </c>
    </row>
    <row r="163" spans="1:22" ht="12.75">
      <c r="A163" s="4" t="s">
        <v>191</v>
      </c>
      <c r="B163" s="9">
        <v>3322</v>
      </c>
      <c r="C163" s="9">
        <v>3337</v>
      </c>
      <c r="D163" s="9">
        <v>3572</v>
      </c>
      <c r="E163" s="9">
        <v>3572</v>
      </c>
      <c r="F163" s="9">
        <v>3664</v>
      </c>
      <c r="G163" s="9">
        <v>3819</v>
      </c>
      <c r="H163" s="9">
        <v>3840</v>
      </c>
      <c r="I163" s="9">
        <v>3817</v>
      </c>
      <c r="J163" s="9">
        <v>4128</v>
      </c>
      <c r="K163" s="9">
        <v>3912</v>
      </c>
      <c r="L163" s="9">
        <v>4418</v>
      </c>
      <c r="M163" s="9">
        <v>4107</v>
      </c>
      <c r="N163" s="9">
        <v>4620</v>
      </c>
      <c r="O163" s="9">
        <v>4225</v>
      </c>
      <c r="P163" s="9">
        <v>4114</v>
      </c>
      <c r="Q163" s="9">
        <v>4144</v>
      </c>
      <c r="R163" s="9">
        <v>4095</v>
      </c>
      <c r="S163" s="9">
        <v>4235</v>
      </c>
      <c r="T163" s="9">
        <v>4072</v>
      </c>
      <c r="U163" s="9">
        <v>4030</v>
      </c>
      <c r="V163" s="9">
        <v>3658</v>
      </c>
    </row>
    <row r="164" spans="1:22" ht="12.75">
      <c r="A164" s="25" t="s">
        <v>256</v>
      </c>
      <c r="B164" s="9">
        <v>3706</v>
      </c>
      <c r="C164" s="9">
        <v>3885</v>
      </c>
      <c r="D164" s="9">
        <v>3990</v>
      </c>
      <c r="E164" s="9">
        <v>4301</v>
      </c>
      <c r="F164" s="9">
        <v>4476</v>
      </c>
      <c r="G164" s="9">
        <v>4695</v>
      </c>
      <c r="H164" s="9">
        <v>4974</v>
      </c>
      <c r="I164" s="9">
        <v>4913</v>
      </c>
      <c r="J164" s="9">
        <v>5229</v>
      </c>
      <c r="K164" s="9">
        <v>5699</v>
      </c>
      <c r="L164" s="9">
        <v>6317</v>
      </c>
      <c r="M164" s="9">
        <v>6836</v>
      </c>
      <c r="N164" s="9">
        <v>7038</v>
      </c>
      <c r="O164" s="9">
        <v>6788</v>
      </c>
      <c r="P164" s="9">
        <v>6694</v>
      </c>
      <c r="Q164" s="9">
        <v>6924</v>
      </c>
      <c r="R164" s="9">
        <v>6211</v>
      </c>
      <c r="S164" s="9">
        <v>6394</v>
      </c>
      <c r="T164" s="9">
        <v>6282</v>
      </c>
      <c r="U164" s="9">
        <v>6392</v>
      </c>
      <c r="V164" s="9">
        <v>6601</v>
      </c>
    </row>
    <row r="165" spans="1:22" ht="12.75">
      <c r="A165" s="25" t="s">
        <v>328</v>
      </c>
      <c r="B165" s="9">
        <v>5468</v>
      </c>
      <c r="C165" s="9">
        <v>5781</v>
      </c>
      <c r="D165" s="9">
        <f aca="true" t="shared" si="25" ref="D165:K165">D181+D188</f>
        <v>6556</v>
      </c>
      <c r="E165" s="9">
        <f t="shared" si="25"/>
        <v>6866</v>
      </c>
      <c r="F165" s="9">
        <f t="shared" si="25"/>
        <v>7383</v>
      </c>
      <c r="G165" s="9">
        <f t="shared" si="25"/>
        <v>7622</v>
      </c>
      <c r="H165" s="9">
        <f t="shared" si="25"/>
        <v>7956</v>
      </c>
      <c r="I165" s="9">
        <f t="shared" si="25"/>
        <v>8482</v>
      </c>
      <c r="J165" s="9">
        <f t="shared" si="25"/>
        <v>9117</v>
      </c>
      <c r="K165" s="9">
        <f t="shared" si="25"/>
        <v>10236</v>
      </c>
      <c r="L165" s="9">
        <f>SUM(L179:L180)+SUM(L182:L183)+L185</f>
        <v>10317</v>
      </c>
      <c r="M165" s="9">
        <f>SUM(M179:M180)+SUM(M182:M183)+M185</f>
        <v>11708</v>
      </c>
      <c r="N165" s="9">
        <f aca="true" t="shared" si="26" ref="N165:V165">SUM(N179:N180)+SUM(N182:N184)+N186</f>
        <v>10410</v>
      </c>
      <c r="O165" s="9">
        <f t="shared" si="26"/>
        <v>11014</v>
      </c>
      <c r="P165" s="9">
        <f t="shared" si="26"/>
        <v>11766</v>
      </c>
      <c r="Q165" s="9">
        <f t="shared" si="26"/>
        <v>12158</v>
      </c>
      <c r="R165" s="9">
        <f t="shared" si="26"/>
        <v>11877</v>
      </c>
      <c r="S165" s="9">
        <f t="shared" si="26"/>
        <v>11354</v>
      </c>
      <c r="T165" s="9">
        <f t="shared" si="26"/>
        <v>11845</v>
      </c>
      <c r="U165" s="9">
        <f t="shared" si="26"/>
        <v>12284</v>
      </c>
      <c r="V165" s="9">
        <f t="shared" si="26"/>
        <v>13556</v>
      </c>
    </row>
    <row r="166" spans="1:22" ht="12.75">
      <c r="A166" s="4" t="s">
        <v>248</v>
      </c>
      <c r="B166" s="9">
        <v>1910</v>
      </c>
      <c r="C166" s="9">
        <v>1304</v>
      </c>
      <c r="D166" s="9">
        <v>1437</v>
      </c>
      <c r="E166" s="9">
        <v>1438</v>
      </c>
      <c r="F166" s="9">
        <v>1450</v>
      </c>
      <c r="G166" s="9">
        <v>1414</v>
      </c>
      <c r="H166" s="9">
        <v>1459</v>
      </c>
      <c r="I166" s="9">
        <v>1583</v>
      </c>
      <c r="J166" s="9">
        <v>1581</v>
      </c>
      <c r="K166" s="9">
        <v>1682</v>
      </c>
      <c r="L166" s="9">
        <v>663</v>
      </c>
      <c r="M166" s="9">
        <v>360</v>
      </c>
      <c r="N166" s="9">
        <v>430</v>
      </c>
      <c r="O166" s="9">
        <v>547</v>
      </c>
      <c r="P166" s="9">
        <v>507</v>
      </c>
      <c r="Q166" s="9">
        <v>674</v>
      </c>
      <c r="R166" s="9">
        <v>1041</v>
      </c>
      <c r="S166" s="9">
        <v>1079</v>
      </c>
      <c r="T166" s="9">
        <v>1334</v>
      </c>
      <c r="U166" s="9">
        <v>1261</v>
      </c>
      <c r="V166" s="9">
        <v>993</v>
      </c>
    </row>
    <row r="167" spans="1:22" ht="12.75">
      <c r="A167" s="25" t="s">
        <v>148</v>
      </c>
      <c r="B167" s="9">
        <f>B40-SUM(B159:B166)</f>
        <v>-1292</v>
      </c>
      <c r="C167" s="9">
        <f aca="true" t="shared" si="27" ref="C167:V167">C40-SUM(C159:C166)</f>
        <v>-420</v>
      </c>
      <c r="D167" s="9">
        <f t="shared" si="27"/>
        <v>-570</v>
      </c>
      <c r="E167" s="9">
        <f t="shared" si="27"/>
        <v>-595</v>
      </c>
      <c r="F167" s="9">
        <f t="shared" si="27"/>
        <v>-608</v>
      </c>
      <c r="G167" s="9">
        <f t="shared" si="27"/>
        <v>-646</v>
      </c>
      <c r="H167" s="9">
        <f t="shared" si="27"/>
        <v>-676</v>
      </c>
      <c r="I167" s="9">
        <f t="shared" si="27"/>
        <v>-631</v>
      </c>
      <c r="J167" s="9">
        <f t="shared" si="27"/>
        <v>-615</v>
      </c>
      <c r="K167" s="9">
        <f t="shared" si="27"/>
        <v>-700</v>
      </c>
      <c r="L167" s="9">
        <f t="shared" si="27"/>
        <v>2</v>
      </c>
      <c r="M167" s="9">
        <f t="shared" si="27"/>
        <v>0</v>
      </c>
      <c r="N167" s="9">
        <f t="shared" si="27"/>
        <v>-2</v>
      </c>
      <c r="O167" s="9">
        <f t="shared" si="27"/>
        <v>0</v>
      </c>
      <c r="P167" s="9">
        <f t="shared" si="27"/>
        <v>1</v>
      </c>
      <c r="Q167" s="9">
        <f t="shared" si="27"/>
        <v>1</v>
      </c>
      <c r="R167" s="9">
        <f t="shared" si="27"/>
        <v>-1</v>
      </c>
      <c r="S167" s="9">
        <f t="shared" si="27"/>
        <v>1</v>
      </c>
      <c r="T167" s="9">
        <f t="shared" si="27"/>
        <v>-1</v>
      </c>
      <c r="U167" s="9">
        <f t="shared" si="27"/>
        <v>0</v>
      </c>
      <c r="V167" s="9">
        <f t="shared" si="27"/>
        <v>-1</v>
      </c>
    </row>
    <row r="168" ht="12.75">
      <c r="A168" s="25"/>
    </row>
    <row r="169" ht="12.75">
      <c r="A169" s="25"/>
    </row>
    <row r="170" spans="1:22" ht="12.75">
      <c r="A170" s="4" t="s">
        <v>188</v>
      </c>
      <c r="L170" s="9">
        <v>228</v>
      </c>
      <c r="M170" s="9">
        <v>195</v>
      </c>
      <c r="N170" s="9">
        <v>234</v>
      </c>
      <c r="O170" s="9">
        <v>221</v>
      </c>
      <c r="P170" s="9">
        <v>156</v>
      </c>
      <c r="Q170" s="9">
        <v>191</v>
      </c>
      <c r="R170" s="9">
        <v>357</v>
      </c>
      <c r="S170" s="9">
        <v>293</v>
      </c>
      <c r="T170" s="9">
        <v>311</v>
      </c>
      <c r="U170" s="9">
        <v>271</v>
      </c>
      <c r="V170" s="9">
        <v>253</v>
      </c>
    </row>
    <row r="171" spans="1:22" ht="12.75">
      <c r="A171" s="4" t="s">
        <v>189</v>
      </c>
      <c r="L171" s="9">
        <v>991</v>
      </c>
      <c r="M171" s="9">
        <v>928</v>
      </c>
      <c r="N171" s="9">
        <v>1139</v>
      </c>
      <c r="O171" s="9">
        <v>1030</v>
      </c>
      <c r="P171" s="9">
        <v>889</v>
      </c>
      <c r="Q171" s="9">
        <v>938</v>
      </c>
      <c r="R171" s="9">
        <v>1210</v>
      </c>
      <c r="S171" s="9">
        <v>1203</v>
      </c>
      <c r="T171" s="9">
        <v>1136</v>
      </c>
      <c r="U171" s="9">
        <v>1085</v>
      </c>
      <c r="V171" s="9">
        <v>925</v>
      </c>
    </row>
    <row r="172" spans="1:22" ht="12.75">
      <c r="A172" s="4" t="s">
        <v>192</v>
      </c>
      <c r="L172" s="9">
        <v>3767</v>
      </c>
      <c r="M172" s="9">
        <v>3878</v>
      </c>
      <c r="N172" s="9">
        <v>3972</v>
      </c>
      <c r="O172" s="9">
        <v>3906</v>
      </c>
      <c r="P172" s="9">
        <v>3710</v>
      </c>
      <c r="Q172" s="9">
        <v>3996</v>
      </c>
      <c r="R172" s="9">
        <v>3465</v>
      </c>
      <c r="S172" s="9">
        <v>3562</v>
      </c>
      <c r="T172" s="9">
        <v>3623</v>
      </c>
      <c r="U172" s="9">
        <v>3545</v>
      </c>
      <c r="V172" s="9">
        <v>3607</v>
      </c>
    </row>
    <row r="173" spans="1:22" ht="12.75">
      <c r="A173" s="4" t="s">
        <v>193</v>
      </c>
      <c r="L173" s="9">
        <v>2550</v>
      </c>
      <c r="M173" s="9">
        <v>2958</v>
      </c>
      <c r="N173" s="9">
        <v>3066</v>
      </c>
      <c r="O173" s="9">
        <v>2882</v>
      </c>
      <c r="P173" s="9">
        <v>2984</v>
      </c>
      <c r="Q173" s="9">
        <v>2928</v>
      </c>
      <c r="R173" s="9">
        <v>2746</v>
      </c>
      <c r="S173" s="9">
        <v>2832</v>
      </c>
      <c r="T173" s="9">
        <v>2659</v>
      </c>
      <c r="U173" s="9">
        <v>2847</v>
      </c>
      <c r="V173" s="9">
        <v>2994</v>
      </c>
    </row>
    <row r="179" spans="1:22" ht="12.75">
      <c r="A179" s="4" t="s">
        <v>194</v>
      </c>
      <c r="L179" s="9">
        <v>1862</v>
      </c>
      <c r="M179" s="9">
        <v>1979</v>
      </c>
      <c r="N179" s="9">
        <v>1998</v>
      </c>
      <c r="O179" s="9">
        <v>2000</v>
      </c>
      <c r="P179" s="9">
        <v>2095</v>
      </c>
      <c r="Q179" s="9">
        <v>2301</v>
      </c>
      <c r="R179" s="9">
        <v>2001</v>
      </c>
      <c r="S179" s="9">
        <v>2067</v>
      </c>
      <c r="T179" s="9">
        <v>2030</v>
      </c>
      <c r="U179" s="9">
        <v>2078</v>
      </c>
      <c r="V179" s="9">
        <v>2217</v>
      </c>
    </row>
    <row r="180" spans="1:22" ht="12.75">
      <c r="A180" s="4" t="s">
        <v>195</v>
      </c>
      <c r="L180" s="9">
        <v>2327</v>
      </c>
      <c r="M180" s="9">
        <v>2738</v>
      </c>
      <c r="N180" s="9">
        <v>2576</v>
      </c>
      <c r="O180" s="9">
        <v>2669</v>
      </c>
      <c r="P180" s="9">
        <v>2781</v>
      </c>
      <c r="Q180" s="9">
        <v>2793</v>
      </c>
      <c r="R180" s="9">
        <v>2517</v>
      </c>
      <c r="S180" s="9">
        <v>2577</v>
      </c>
      <c r="T180" s="9">
        <v>2722</v>
      </c>
      <c r="U180" s="9">
        <v>3017</v>
      </c>
      <c r="V180" s="9">
        <v>2809</v>
      </c>
    </row>
    <row r="181" spans="1:22" s="41" customFormat="1" ht="12.75">
      <c r="A181" s="25" t="s">
        <v>257</v>
      </c>
      <c r="B181" s="42"/>
      <c r="C181" s="42"/>
      <c r="D181" s="42">
        <v>2878</v>
      </c>
      <c r="E181" s="42">
        <v>3046</v>
      </c>
      <c r="F181" s="42">
        <v>3216</v>
      </c>
      <c r="G181" s="42">
        <v>3346</v>
      </c>
      <c r="H181" s="42">
        <v>3380</v>
      </c>
      <c r="I181" s="42">
        <v>3499</v>
      </c>
      <c r="J181" s="42">
        <v>3741</v>
      </c>
      <c r="K181" s="42">
        <v>3954</v>
      </c>
      <c r="L181" s="42">
        <v>4189</v>
      </c>
      <c r="M181" s="42">
        <v>4717</v>
      </c>
      <c r="N181" s="42">
        <v>4574</v>
      </c>
      <c r="O181" s="42">
        <v>4669</v>
      </c>
      <c r="P181" s="42">
        <v>4876</v>
      </c>
      <c r="Q181" s="42">
        <v>5094</v>
      </c>
      <c r="R181" s="42">
        <v>4518</v>
      </c>
      <c r="S181" s="42">
        <v>4644</v>
      </c>
      <c r="T181" s="42">
        <v>4752</v>
      </c>
      <c r="U181" s="42">
        <v>5095</v>
      </c>
      <c r="V181" s="42">
        <v>5026</v>
      </c>
    </row>
    <row r="182" spans="1:22" ht="12.75">
      <c r="A182" s="4" t="s">
        <v>196</v>
      </c>
      <c r="L182" s="9">
        <v>1469</v>
      </c>
      <c r="M182" s="9">
        <v>1752</v>
      </c>
      <c r="N182" s="9">
        <v>1547</v>
      </c>
      <c r="O182" s="9">
        <v>1707</v>
      </c>
      <c r="P182" s="9">
        <v>1615</v>
      </c>
      <c r="Q182" s="9">
        <v>1649</v>
      </c>
      <c r="R182" s="9">
        <v>1577</v>
      </c>
      <c r="S182" s="9">
        <v>1608</v>
      </c>
      <c r="T182" s="9">
        <v>1731</v>
      </c>
      <c r="U182" s="9">
        <v>1727</v>
      </c>
      <c r="V182" s="9">
        <v>1805</v>
      </c>
    </row>
    <row r="183" spans="1:22" ht="12.75">
      <c r="A183" s="4" t="s">
        <v>197</v>
      </c>
      <c r="L183" s="9">
        <v>1088</v>
      </c>
      <c r="M183" s="9">
        <v>1202</v>
      </c>
      <c r="N183" s="9">
        <v>1024</v>
      </c>
      <c r="O183" s="9">
        <v>1071</v>
      </c>
      <c r="P183" s="9">
        <v>1136</v>
      </c>
      <c r="Q183" s="9">
        <v>1168</v>
      </c>
      <c r="R183" s="9">
        <v>1107</v>
      </c>
      <c r="S183" s="9">
        <v>1035</v>
      </c>
      <c r="T183" s="9">
        <v>1171</v>
      </c>
      <c r="U183" s="9">
        <v>1119</v>
      </c>
      <c r="V183" s="9">
        <v>1204</v>
      </c>
    </row>
    <row r="184" spans="1:22" ht="12.75">
      <c r="A184" s="4" t="s">
        <v>198</v>
      </c>
      <c r="N184" s="9">
        <v>1539</v>
      </c>
      <c r="O184" s="9">
        <v>1596</v>
      </c>
      <c r="P184" s="9">
        <v>1846</v>
      </c>
      <c r="Q184" s="9">
        <v>1803</v>
      </c>
      <c r="R184" s="9">
        <v>1776</v>
      </c>
      <c r="S184" s="9">
        <v>1552</v>
      </c>
      <c r="T184" s="9">
        <v>1655</v>
      </c>
      <c r="U184" s="9">
        <v>1706</v>
      </c>
      <c r="V184" s="9">
        <v>1931</v>
      </c>
    </row>
    <row r="185" spans="1:13" ht="12.75">
      <c r="A185" s="25" t="s">
        <v>303</v>
      </c>
      <c r="L185" s="9">
        <v>3571</v>
      </c>
      <c r="M185" s="9">
        <v>4037</v>
      </c>
    </row>
    <row r="186" spans="1:22" ht="12.75">
      <c r="A186" s="4" t="s">
        <v>199</v>
      </c>
      <c r="N186" s="9">
        <v>1726</v>
      </c>
      <c r="O186" s="9">
        <v>1971</v>
      </c>
      <c r="P186" s="9">
        <v>2293</v>
      </c>
      <c r="Q186" s="9">
        <v>2444</v>
      </c>
      <c r="R186" s="9">
        <v>2899</v>
      </c>
      <c r="S186" s="9">
        <v>2515</v>
      </c>
      <c r="T186" s="9">
        <v>2536</v>
      </c>
      <c r="U186" s="9">
        <v>2637</v>
      </c>
      <c r="V186" s="9">
        <v>3590</v>
      </c>
    </row>
    <row r="188" spans="1:22" ht="12.75">
      <c r="A188" s="25" t="s">
        <v>258</v>
      </c>
      <c r="B188" s="1"/>
      <c r="C188" s="1"/>
      <c r="D188" s="9">
        <v>3678</v>
      </c>
      <c r="E188" s="9">
        <v>3820</v>
      </c>
      <c r="F188" s="9">
        <v>4167</v>
      </c>
      <c r="G188" s="9">
        <v>4276</v>
      </c>
      <c r="H188" s="9">
        <v>4576</v>
      </c>
      <c r="I188" s="9">
        <v>4983</v>
      </c>
      <c r="J188" s="9">
        <v>5376</v>
      </c>
      <c r="K188" s="9">
        <v>6282</v>
      </c>
      <c r="L188" s="9">
        <v>6128</v>
      </c>
      <c r="M188" s="9">
        <v>6991</v>
      </c>
      <c r="N188" s="9">
        <v>5836</v>
      </c>
      <c r="O188" s="9">
        <v>6345</v>
      </c>
      <c r="P188" s="9">
        <v>6890</v>
      </c>
      <c r="Q188" s="9">
        <v>7064</v>
      </c>
      <c r="R188" s="9">
        <v>7359</v>
      </c>
      <c r="S188" s="9">
        <v>6710</v>
      </c>
      <c r="T188" s="9">
        <v>7093</v>
      </c>
      <c r="U188" s="9">
        <v>7189</v>
      </c>
      <c r="V188" s="9">
        <v>8530</v>
      </c>
    </row>
    <row r="191" spans="1:22" ht="25.5">
      <c r="A191" s="27" t="s">
        <v>201</v>
      </c>
      <c r="M191" s="28"/>
      <c r="N191" s="28"/>
      <c r="O191" s="28">
        <v>0.28</v>
      </c>
      <c r="P191" s="28">
        <v>0.29</v>
      </c>
      <c r="Q191" s="28">
        <v>0.29</v>
      </c>
      <c r="R191" s="38">
        <v>0.29</v>
      </c>
      <c r="S191" s="38">
        <v>0.28</v>
      </c>
      <c r="T191" s="38">
        <v>0.29</v>
      </c>
      <c r="U191" s="38">
        <v>0.3</v>
      </c>
      <c r="V191" s="38">
        <v>0.32</v>
      </c>
    </row>
    <row r="192" spans="1:22" ht="25.5">
      <c r="A192" s="27" t="s">
        <v>202</v>
      </c>
      <c r="B192" s="28"/>
      <c r="C192" s="28"/>
      <c r="D192" s="38">
        <v>0.23</v>
      </c>
      <c r="E192" s="28">
        <v>0.24</v>
      </c>
      <c r="F192" s="28">
        <v>0.25</v>
      </c>
      <c r="G192" s="28">
        <v>0.25</v>
      </c>
      <c r="H192" s="28">
        <v>0.26</v>
      </c>
      <c r="I192" s="28">
        <v>0.27</v>
      </c>
      <c r="J192" s="28">
        <v>0.27</v>
      </c>
      <c r="K192" s="28">
        <v>0.29</v>
      </c>
      <c r="L192" s="28">
        <v>0.27</v>
      </c>
      <c r="M192" s="38">
        <v>0.29</v>
      </c>
      <c r="N192" s="38">
        <v>0.27</v>
      </c>
      <c r="O192" s="38">
        <v>0.27</v>
      </c>
      <c r="P192" s="38">
        <v>0.28</v>
      </c>
      <c r="Q192" s="38">
        <v>0.28</v>
      </c>
      <c r="R192" s="38">
        <v>0.27</v>
      </c>
      <c r="S192" s="38">
        <v>0.27</v>
      </c>
      <c r="T192" s="38">
        <v>0.27</v>
      </c>
      <c r="U192" s="38">
        <v>0.28</v>
      </c>
      <c r="V192" s="38">
        <v>0.29</v>
      </c>
    </row>
    <row r="195" spans="1:22" ht="12.75">
      <c r="A195" s="4" t="s">
        <v>253</v>
      </c>
      <c r="R195" s="10"/>
      <c r="S195" s="10"/>
      <c r="T195" s="10"/>
      <c r="U195" s="10"/>
      <c r="V195" s="10"/>
    </row>
    <row r="196" spans="1:32" ht="12.75">
      <c r="A196" s="4" t="s">
        <v>172</v>
      </c>
      <c r="B196" s="14" t="s">
        <v>318</v>
      </c>
      <c r="C196" s="14" t="s">
        <v>318</v>
      </c>
      <c r="D196" s="14" t="s">
        <v>318</v>
      </c>
      <c r="E196" s="14" t="s">
        <v>318</v>
      </c>
      <c r="F196" s="14" t="s">
        <v>318</v>
      </c>
      <c r="G196" s="14" t="s">
        <v>318</v>
      </c>
      <c r="H196" s="14" t="s">
        <v>318</v>
      </c>
      <c r="I196" s="14" t="s">
        <v>318</v>
      </c>
      <c r="J196" s="14" t="s">
        <v>318</v>
      </c>
      <c r="K196" s="14" t="s">
        <v>318</v>
      </c>
      <c r="L196" s="9">
        <v>2030</v>
      </c>
      <c r="M196" s="9">
        <v>1829</v>
      </c>
      <c r="N196" s="9">
        <v>1906</v>
      </c>
      <c r="O196" s="9">
        <v>1505</v>
      </c>
      <c r="P196" s="9">
        <v>1055</v>
      </c>
      <c r="Q196" s="9">
        <v>1049</v>
      </c>
      <c r="R196" s="10">
        <v>1182</v>
      </c>
      <c r="S196" s="10">
        <v>1202</v>
      </c>
      <c r="T196" s="10">
        <v>995</v>
      </c>
      <c r="U196" s="10">
        <v>985</v>
      </c>
      <c r="V196" s="10">
        <v>711</v>
      </c>
      <c r="Y196" s="9">
        <f aca="true" t="shared" si="28" ref="Y196:AF196">L196</f>
        <v>2030</v>
      </c>
      <c r="Z196" s="9">
        <f t="shared" si="28"/>
        <v>1829</v>
      </c>
      <c r="AA196" s="9">
        <f t="shared" si="28"/>
        <v>1906</v>
      </c>
      <c r="AB196" s="9">
        <f t="shared" si="28"/>
        <v>1505</v>
      </c>
      <c r="AC196" s="9">
        <f t="shared" si="28"/>
        <v>1055</v>
      </c>
      <c r="AD196" s="9">
        <f t="shared" si="28"/>
        <v>1049</v>
      </c>
      <c r="AE196" s="9">
        <f t="shared" si="28"/>
        <v>1182</v>
      </c>
      <c r="AF196" s="9">
        <f t="shared" si="28"/>
        <v>1202</v>
      </c>
    </row>
    <row r="197" spans="1:32" ht="12.75">
      <c r="A197" s="4" t="s">
        <v>173</v>
      </c>
      <c r="B197" s="14" t="s">
        <v>318</v>
      </c>
      <c r="C197" s="14" t="s">
        <v>318</v>
      </c>
      <c r="D197" s="14" t="s">
        <v>318</v>
      </c>
      <c r="E197" s="14" t="s">
        <v>318</v>
      </c>
      <c r="F197" s="14" t="s">
        <v>318</v>
      </c>
      <c r="G197" s="14" t="s">
        <v>318</v>
      </c>
      <c r="H197" s="14" t="s">
        <v>318</v>
      </c>
      <c r="I197" s="14" t="s">
        <v>318</v>
      </c>
      <c r="J197" s="14" t="s">
        <v>318</v>
      </c>
      <c r="K197" s="14" t="s">
        <v>318</v>
      </c>
      <c r="L197" s="9">
        <v>11070</v>
      </c>
      <c r="M197" s="9">
        <v>10681</v>
      </c>
      <c r="N197" s="9">
        <v>10521</v>
      </c>
      <c r="O197" s="9">
        <v>8987</v>
      </c>
      <c r="P197" s="9">
        <v>7521</v>
      </c>
      <c r="Q197" s="9">
        <v>7269</v>
      </c>
      <c r="R197" s="10">
        <v>7844</v>
      </c>
      <c r="S197" s="10">
        <v>7712</v>
      </c>
      <c r="T197" s="10">
        <v>6058</v>
      </c>
      <c r="U197" s="10">
        <v>5928</v>
      </c>
      <c r="V197" s="10">
        <v>4499</v>
      </c>
      <c r="Y197" s="9">
        <f aca="true" t="shared" si="29" ref="Y197:Y211">Y196+L197</f>
        <v>13100</v>
      </c>
      <c r="Z197" s="9">
        <f aca="true" t="shared" si="30" ref="Z197:Z211">Z196+M197</f>
        <v>12510</v>
      </c>
      <c r="AA197" s="9">
        <f aca="true" t="shared" si="31" ref="AA197:AA211">AA196+N197</f>
        <v>12427</v>
      </c>
      <c r="AB197" s="9">
        <f aca="true" t="shared" si="32" ref="AB197:AB211">AB196+O197</f>
        <v>10492</v>
      </c>
      <c r="AC197" s="9">
        <f aca="true" t="shared" si="33" ref="AC197:AC211">AC196+P197</f>
        <v>8576</v>
      </c>
      <c r="AD197" s="9">
        <f aca="true" t="shared" si="34" ref="AD197:AD211">AD196+Q197</f>
        <v>8318</v>
      </c>
      <c r="AE197" s="9">
        <f aca="true" t="shared" si="35" ref="AE197:AE211">AE196+R197</f>
        <v>9026</v>
      </c>
      <c r="AF197" s="9">
        <f aca="true" t="shared" si="36" ref="AF197:AF211">AF196+S197</f>
        <v>8914</v>
      </c>
    </row>
    <row r="198" spans="1:32" ht="12.75">
      <c r="A198" s="4" t="s">
        <v>252</v>
      </c>
      <c r="B198" s="14" t="s">
        <v>318</v>
      </c>
      <c r="C198" s="14" t="s">
        <v>318</v>
      </c>
      <c r="D198" s="14" t="s">
        <v>318</v>
      </c>
      <c r="E198" s="14" t="s">
        <v>318</v>
      </c>
      <c r="F198" s="14" t="s">
        <v>318</v>
      </c>
      <c r="G198" s="14" t="s">
        <v>318</v>
      </c>
      <c r="H198" s="14" t="s">
        <v>318</v>
      </c>
      <c r="I198" s="14" t="s">
        <v>318</v>
      </c>
      <c r="J198" s="14" t="s">
        <v>318</v>
      </c>
      <c r="K198" s="14" t="s">
        <v>318</v>
      </c>
      <c r="L198" s="9">
        <v>5286</v>
      </c>
      <c r="M198" s="9">
        <v>5217</v>
      </c>
      <c r="N198" s="9">
        <v>5138</v>
      </c>
      <c r="O198" s="9">
        <v>4549</v>
      </c>
      <c r="P198" s="9">
        <v>4437</v>
      </c>
      <c r="Q198" s="9">
        <v>4675</v>
      </c>
      <c r="R198" s="10">
        <v>5067</v>
      </c>
      <c r="S198" s="10">
        <v>5221</v>
      </c>
      <c r="T198" s="10">
        <v>4448</v>
      </c>
      <c r="U198" s="10">
        <v>4171</v>
      </c>
      <c r="V198" s="10">
        <v>3539</v>
      </c>
      <c r="Y198" s="9">
        <f t="shared" si="29"/>
        <v>18386</v>
      </c>
      <c r="Z198" s="9">
        <f t="shared" si="30"/>
        <v>17727</v>
      </c>
      <c r="AA198" s="9">
        <f t="shared" si="31"/>
        <v>17565</v>
      </c>
      <c r="AB198" s="9">
        <f t="shared" si="32"/>
        <v>15041</v>
      </c>
      <c r="AC198" s="9">
        <f t="shared" si="33"/>
        <v>13013</v>
      </c>
      <c r="AD198" s="9">
        <f t="shared" si="34"/>
        <v>12993</v>
      </c>
      <c r="AE198" s="9">
        <f t="shared" si="35"/>
        <v>14093</v>
      </c>
      <c r="AF198" s="9">
        <f t="shared" si="36"/>
        <v>14135</v>
      </c>
    </row>
    <row r="199" spans="1:32" ht="12.75">
      <c r="A199" s="4" t="s">
        <v>175</v>
      </c>
      <c r="B199" s="14" t="s">
        <v>318</v>
      </c>
      <c r="C199" s="14" t="s">
        <v>318</v>
      </c>
      <c r="D199" s="14" t="s">
        <v>318</v>
      </c>
      <c r="E199" s="14" t="s">
        <v>318</v>
      </c>
      <c r="F199" s="14" t="s">
        <v>318</v>
      </c>
      <c r="G199" s="14" t="s">
        <v>318</v>
      </c>
      <c r="H199" s="14" t="s">
        <v>318</v>
      </c>
      <c r="I199" s="14" t="s">
        <v>318</v>
      </c>
      <c r="J199" s="14" t="s">
        <v>318</v>
      </c>
      <c r="K199" s="14" t="s">
        <v>318</v>
      </c>
      <c r="L199" s="9">
        <v>4116</v>
      </c>
      <c r="M199" s="9">
        <v>4011</v>
      </c>
      <c r="N199" s="9">
        <v>3808</v>
      </c>
      <c r="O199" s="9">
        <v>3828</v>
      </c>
      <c r="P199" s="9">
        <v>3818</v>
      </c>
      <c r="Q199" s="9">
        <v>4034</v>
      </c>
      <c r="R199" s="10">
        <v>4796</v>
      </c>
      <c r="S199" s="10">
        <v>4675</v>
      </c>
      <c r="T199" s="10">
        <v>4132</v>
      </c>
      <c r="U199" s="10">
        <v>3983</v>
      </c>
      <c r="V199" s="10">
        <v>3677</v>
      </c>
      <c r="Y199" s="9">
        <f t="shared" si="29"/>
        <v>22502</v>
      </c>
      <c r="Z199" s="9">
        <f t="shared" si="30"/>
        <v>21738</v>
      </c>
      <c r="AA199" s="9">
        <f t="shared" si="31"/>
        <v>21373</v>
      </c>
      <c r="AB199" s="9">
        <f t="shared" si="32"/>
        <v>18869</v>
      </c>
      <c r="AC199" s="9">
        <f t="shared" si="33"/>
        <v>16831</v>
      </c>
      <c r="AD199" s="9">
        <f t="shared" si="34"/>
        <v>17027</v>
      </c>
      <c r="AE199" s="9">
        <f t="shared" si="35"/>
        <v>18889</v>
      </c>
      <c r="AF199" s="9">
        <f t="shared" si="36"/>
        <v>18810</v>
      </c>
    </row>
    <row r="200" spans="1:32" ht="12.75">
      <c r="A200" s="4" t="s">
        <v>176</v>
      </c>
      <c r="B200" s="14" t="s">
        <v>318</v>
      </c>
      <c r="C200" s="14" t="s">
        <v>318</v>
      </c>
      <c r="D200" s="14" t="s">
        <v>318</v>
      </c>
      <c r="E200" s="14" t="s">
        <v>318</v>
      </c>
      <c r="F200" s="14" t="s">
        <v>318</v>
      </c>
      <c r="G200" s="14" t="s">
        <v>318</v>
      </c>
      <c r="H200" s="14" t="s">
        <v>318</v>
      </c>
      <c r="I200" s="14" t="s">
        <v>318</v>
      </c>
      <c r="J200" s="14" t="s">
        <v>318</v>
      </c>
      <c r="K200" s="14" t="s">
        <v>318</v>
      </c>
      <c r="L200" s="9">
        <v>3481</v>
      </c>
      <c r="M200" s="9">
        <v>3361</v>
      </c>
      <c r="N200" s="9">
        <v>3075</v>
      </c>
      <c r="O200" s="9">
        <v>3110</v>
      </c>
      <c r="P200" s="9">
        <v>3214</v>
      </c>
      <c r="Q200" s="9">
        <v>3375</v>
      </c>
      <c r="R200" s="10">
        <v>3669</v>
      </c>
      <c r="S200" s="10">
        <v>3588</v>
      </c>
      <c r="T200" s="10">
        <v>3749</v>
      </c>
      <c r="U200" s="10">
        <v>3591</v>
      </c>
      <c r="V200" s="10">
        <v>3488</v>
      </c>
      <c r="Y200" s="9">
        <f t="shared" si="29"/>
        <v>25983</v>
      </c>
      <c r="Z200" s="9">
        <f t="shared" si="30"/>
        <v>25099</v>
      </c>
      <c r="AA200" s="9">
        <f t="shared" si="31"/>
        <v>24448</v>
      </c>
      <c r="AB200" s="9">
        <f t="shared" si="32"/>
        <v>21979</v>
      </c>
      <c r="AC200" s="9">
        <f t="shared" si="33"/>
        <v>20045</v>
      </c>
      <c r="AD200" s="9">
        <f t="shared" si="34"/>
        <v>20402</v>
      </c>
      <c r="AE200" s="9">
        <f t="shared" si="35"/>
        <v>22558</v>
      </c>
      <c r="AF200" s="9">
        <f t="shared" si="36"/>
        <v>22398</v>
      </c>
    </row>
    <row r="201" spans="1:32" ht="12.75">
      <c r="A201" s="4" t="s">
        <v>177</v>
      </c>
      <c r="B201" s="14" t="s">
        <v>318</v>
      </c>
      <c r="C201" s="14" t="s">
        <v>318</v>
      </c>
      <c r="D201" s="14" t="s">
        <v>318</v>
      </c>
      <c r="E201" s="14" t="s">
        <v>318</v>
      </c>
      <c r="F201" s="14" t="s">
        <v>318</v>
      </c>
      <c r="G201" s="14" t="s">
        <v>318</v>
      </c>
      <c r="H201" s="14" t="s">
        <v>318</v>
      </c>
      <c r="I201" s="14" t="s">
        <v>318</v>
      </c>
      <c r="J201" s="14" t="s">
        <v>318</v>
      </c>
      <c r="K201" s="14" t="s">
        <v>318</v>
      </c>
      <c r="L201" s="9">
        <v>3002</v>
      </c>
      <c r="M201" s="9">
        <v>2990</v>
      </c>
      <c r="N201" s="9">
        <v>2758</v>
      </c>
      <c r="O201" s="9">
        <v>2651</v>
      </c>
      <c r="P201" s="9">
        <v>2583</v>
      </c>
      <c r="Q201" s="9">
        <v>2985</v>
      </c>
      <c r="R201" s="10">
        <v>3267</v>
      </c>
      <c r="S201" s="10">
        <v>3170</v>
      </c>
      <c r="T201" s="10">
        <v>3101</v>
      </c>
      <c r="U201" s="10">
        <v>2902</v>
      </c>
      <c r="V201" s="10">
        <v>3275</v>
      </c>
      <c r="Y201" s="9">
        <f t="shared" si="29"/>
        <v>28985</v>
      </c>
      <c r="Z201" s="9">
        <f t="shared" si="30"/>
        <v>28089</v>
      </c>
      <c r="AA201" s="9">
        <f t="shared" si="31"/>
        <v>27206</v>
      </c>
      <c r="AB201" s="9">
        <f t="shared" si="32"/>
        <v>24630</v>
      </c>
      <c r="AC201" s="9">
        <f t="shared" si="33"/>
        <v>22628</v>
      </c>
      <c r="AD201" s="9">
        <f t="shared" si="34"/>
        <v>23387</v>
      </c>
      <c r="AE201" s="9">
        <f t="shared" si="35"/>
        <v>25825</v>
      </c>
      <c r="AF201" s="9">
        <f t="shared" si="36"/>
        <v>25568</v>
      </c>
    </row>
    <row r="202" spans="1:32" ht="12.75">
      <c r="A202" s="4" t="s">
        <v>184</v>
      </c>
      <c r="B202" s="14" t="s">
        <v>318</v>
      </c>
      <c r="C202" s="14" t="s">
        <v>318</v>
      </c>
      <c r="D202" s="14" t="s">
        <v>318</v>
      </c>
      <c r="E202" s="14" t="s">
        <v>318</v>
      </c>
      <c r="F202" s="14" t="s">
        <v>318</v>
      </c>
      <c r="G202" s="14" t="s">
        <v>318</v>
      </c>
      <c r="H202" s="14" t="s">
        <v>318</v>
      </c>
      <c r="I202" s="14" t="s">
        <v>318</v>
      </c>
      <c r="J202" s="14" t="s">
        <v>318</v>
      </c>
      <c r="K202" s="14" t="s">
        <v>318</v>
      </c>
      <c r="L202" s="9">
        <v>2840</v>
      </c>
      <c r="M202" s="9">
        <v>2667</v>
      </c>
      <c r="N202" s="9">
        <v>2462</v>
      </c>
      <c r="O202" s="9">
        <v>2435</v>
      </c>
      <c r="P202" s="9">
        <v>2456</v>
      </c>
      <c r="Q202" s="9">
        <v>2702</v>
      </c>
      <c r="R202" s="10">
        <v>2896</v>
      </c>
      <c r="S202" s="10">
        <v>2676</v>
      </c>
      <c r="T202" s="10">
        <v>2570</v>
      </c>
      <c r="U202" s="10">
        <v>2837</v>
      </c>
      <c r="V202" s="10">
        <v>2719</v>
      </c>
      <c r="Y202" s="9">
        <f t="shared" si="29"/>
        <v>31825</v>
      </c>
      <c r="Z202" s="9">
        <f t="shared" si="30"/>
        <v>30756</v>
      </c>
      <c r="AA202" s="9">
        <f t="shared" si="31"/>
        <v>29668</v>
      </c>
      <c r="AB202" s="9">
        <f t="shared" si="32"/>
        <v>27065</v>
      </c>
      <c r="AC202" s="9">
        <f t="shared" si="33"/>
        <v>25084</v>
      </c>
      <c r="AD202" s="9">
        <f t="shared" si="34"/>
        <v>26089</v>
      </c>
      <c r="AE202" s="9">
        <f t="shared" si="35"/>
        <v>28721</v>
      </c>
      <c r="AF202" s="9">
        <f t="shared" si="36"/>
        <v>28244</v>
      </c>
    </row>
    <row r="203" spans="1:32" ht="12.75">
      <c r="A203" s="4" t="s">
        <v>185</v>
      </c>
      <c r="B203" s="14" t="s">
        <v>318</v>
      </c>
      <c r="C203" s="14" t="s">
        <v>318</v>
      </c>
      <c r="D203" s="14" t="s">
        <v>318</v>
      </c>
      <c r="E203" s="14" t="s">
        <v>318</v>
      </c>
      <c r="F203" s="14" t="s">
        <v>318</v>
      </c>
      <c r="G203" s="14" t="s">
        <v>318</v>
      </c>
      <c r="H203" s="14" t="s">
        <v>318</v>
      </c>
      <c r="I203" s="14" t="s">
        <v>318</v>
      </c>
      <c r="J203" s="14" t="s">
        <v>318</v>
      </c>
      <c r="K203" s="14" t="s">
        <v>318</v>
      </c>
      <c r="L203" s="9">
        <v>2493</v>
      </c>
      <c r="M203" s="9">
        <v>2408</v>
      </c>
      <c r="N203" s="9">
        <v>2307</v>
      </c>
      <c r="O203" s="9">
        <v>2337</v>
      </c>
      <c r="P203" s="9">
        <v>2302</v>
      </c>
      <c r="Q203" s="9">
        <v>2566</v>
      </c>
      <c r="R203" s="10">
        <v>2472</v>
      </c>
      <c r="S203" s="10">
        <v>2420</v>
      </c>
      <c r="T203" s="10">
        <v>2576</v>
      </c>
      <c r="U203" s="10">
        <v>2354</v>
      </c>
      <c r="V203" s="10">
        <v>2377</v>
      </c>
      <c r="Y203" s="9">
        <f t="shared" si="29"/>
        <v>34318</v>
      </c>
      <c r="Z203" s="9">
        <f t="shared" si="30"/>
        <v>33164</v>
      </c>
      <c r="AA203" s="9">
        <f t="shared" si="31"/>
        <v>31975</v>
      </c>
      <c r="AB203" s="9">
        <f t="shared" si="32"/>
        <v>29402</v>
      </c>
      <c r="AC203" s="9">
        <f t="shared" si="33"/>
        <v>27386</v>
      </c>
      <c r="AD203" s="9">
        <f t="shared" si="34"/>
        <v>28655</v>
      </c>
      <c r="AE203" s="9">
        <f t="shared" si="35"/>
        <v>31193</v>
      </c>
      <c r="AF203" s="9">
        <f t="shared" si="36"/>
        <v>30664</v>
      </c>
    </row>
    <row r="204" spans="1:32" ht="12.75">
      <c r="A204" s="4" t="s">
        <v>178</v>
      </c>
      <c r="B204" s="14" t="s">
        <v>318</v>
      </c>
      <c r="C204" s="14" t="s">
        <v>318</v>
      </c>
      <c r="D204" s="14" t="s">
        <v>318</v>
      </c>
      <c r="E204" s="14" t="s">
        <v>318</v>
      </c>
      <c r="F204" s="14" t="s">
        <v>318</v>
      </c>
      <c r="G204" s="14" t="s">
        <v>318</v>
      </c>
      <c r="H204" s="14" t="s">
        <v>318</v>
      </c>
      <c r="I204" s="14" t="s">
        <v>318</v>
      </c>
      <c r="J204" s="14" t="s">
        <v>318</v>
      </c>
      <c r="K204" s="14" t="s">
        <v>318</v>
      </c>
      <c r="L204" s="9">
        <v>4260</v>
      </c>
      <c r="M204" s="9">
        <v>4413</v>
      </c>
      <c r="N204" s="9">
        <v>4144</v>
      </c>
      <c r="O204" s="9">
        <v>4066</v>
      </c>
      <c r="P204" s="9">
        <v>4478</v>
      </c>
      <c r="Q204" s="9">
        <v>4921</v>
      </c>
      <c r="R204" s="10">
        <v>4612</v>
      </c>
      <c r="S204" s="10">
        <v>4593</v>
      </c>
      <c r="T204" s="10">
        <v>4856</v>
      </c>
      <c r="U204" s="10">
        <v>4414</v>
      </c>
      <c r="V204" s="10">
        <v>4704</v>
      </c>
      <c r="Y204" s="9">
        <f t="shared" si="29"/>
        <v>38578</v>
      </c>
      <c r="Z204" s="9">
        <f t="shared" si="30"/>
        <v>37577</v>
      </c>
      <c r="AA204" s="9">
        <f t="shared" si="31"/>
        <v>36119</v>
      </c>
      <c r="AB204" s="9">
        <f t="shared" si="32"/>
        <v>33468</v>
      </c>
      <c r="AC204" s="9">
        <f t="shared" si="33"/>
        <v>31864</v>
      </c>
      <c r="AD204" s="9">
        <f t="shared" si="34"/>
        <v>33576</v>
      </c>
      <c r="AE204" s="9">
        <f t="shared" si="35"/>
        <v>35805</v>
      </c>
      <c r="AF204" s="9">
        <f t="shared" si="36"/>
        <v>35257</v>
      </c>
    </row>
    <row r="205" spans="1:32" ht="12.75">
      <c r="A205" s="4" t="s">
        <v>179</v>
      </c>
      <c r="B205" s="14" t="s">
        <v>318</v>
      </c>
      <c r="C205" s="14" t="s">
        <v>318</v>
      </c>
      <c r="D205" s="14" t="s">
        <v>318</v>
      </c>
      <c r="E205" s="14" t="s">
        <v>318</v>
      </c>
      <c r="F205" s="14" t="s">
        <v>318</v>
      </c>
      <c r="G205" s="14" t="s">
        <v>318</v>
      </c>
      <c r="H205" s="14" t="s">
        <v>318</v>
      </c>
      <c r="I205" s="14" t="s">
        <v>318</v>
      </c>
      <c r="J205" s="14" t="s">
        <v>318</v>
      </c>
      <c r="K205" s="14" t="s">
        <v>318</v>
      </c>
      <c r="L205" s="9">
        <v>3171</v>
      </c>
      <c r="M205" s="9">
        <v>3460</v>
      </c>
      <c r="N205" s="9">
        <v>3423</v>
      </c>
      <c r="O205" s="9">
        <v>3614</v>
      </c>
      <c r="P205" s="9">
        <v>4015</v>
      </c>
      <c r="Q205" s="9">
        <v>4356</v>
      </c>
      <c r="R205" s="10">
        <v>4251</v>
      </c>
      <c r="S205" s="10">
        <v>4215</v>
      </c>
      <c r="T205" s="10">
        <v>4261</v>
      </c>
      <c r="U205" s="10">
        <v>4219</v>
      </c>
      <c r="V205" s="10">
        <v>4192</v>
      </c>
      <c r="Y205" s="9">
        <f t="shared" si="29"/>
        <v>41749</v>
      </c>
      <c r="Z205" s="9">
        <f t="shared" si="30"/>
        <v>41037</v>
      </c>
      <c r="AA205" s="9">
        <f t="shared" si="31"/>
        <v>39542</v>
      </c>
      <c r="AB205" s="9">
        <f t="shared" si="32"/>
        <v>37082</v>
      </c>
      <c r="AC205" s="9">
        <f t="shared" si="33"/>
        <v>35879</v>
      </c>
      <c r="AD205" s="9">
        <f t="shared" si="34"/>
        <v>37932</v>
      </c>
      <c r="AE205" s="9">
        <f t="shared" si="35"/>
        <v>40056</v>
      </c>
      <c r="AF205" s="9">
        <f t="shared" si="36"/>
        <v>39472</v>
      </c>
    </row>
    <row r="206" spans="1:32" ht="12.75">
      <c r="A206" s="4" t="s">
        <v>180</v>
      </c>
      <c r="B206" s="14" t="s">
        <v>318</v>
      </c>
      <c r="C206" s="14" t="s">
        <v>318</v>
      </c>
      <c r="D206" s="14" t="s">
        <v>318</v>
      </c>
      <c r="E206" s="14" t="s">
        <v>318</v>
      </c>
      <c r="F206" s="14" t="s">
        <v>318</v>
      </c>
      <c r="G206" s="14" t="s">
        <v>318</v>
      </c>
      <c r="H206" s="14" t="s">
        <v>318</v>
      </c>
      <c r="I206" s="14" t="s">
        <v>318</v>
      </c>
      <c r="J206" s="14" t="s">
        <v>318</v>
      </c>
      <c r="K206" s="14" t="s">
        <v>318</v>
      </c>
      <c r="L206" s="9">
        <v>2546</v>
      </c>
      <c r="M206" s="9">
        <v>2793</v>
      </c>
      <c r="N206" s="9">
        <v>3096</v>
      </c>
      <c r="O206" s="9">
        <v>3157</v>
      </c>
      <c r="P206" s="9">
        <v>3479</v>
      </c>
      <c r="Q206" s="9">
        <v>4142</v>
      </c>
      <c r="R206" s="10">
        <v>3792</v>
      </c>
      <c r="S206" s="10">
        <v>4071</v>
      </c>
      <c r="T206" s="10">
        <v>4110</v>
      </c>
      <c r="U206" s="10">
        <v>4121</v>
      </c>
      <c r="V206" s="10">
        <v>3933</v>
      </c>
      <c r="Y206" s="9">
        <f t="shared" si="29"/>
        <v>44295</v>
      </c>
      <c r="Z206" s="9">
        <f t="shared" si="30"/>
        <v>43830</v>
      </c>
      <c r="AA206" s="9">
        <f t="shared" si="31"/>
        <v>42638</v>
      </c>
      <c r="AB206" s="9">
        <f t="shared" si="32"/>
        <v>40239</v>
      </c>
      <c r="AC206" s="9">
        <f t="shared" si="33"/>
        <v>39358</v>
      </c>
      <c r="AD206" s="9">
        <f t="shared" si="34"/>
        <v>42074</v>
      </c>
      <c r="AE206" s="9">
        <f t="shared" si="35"/>
        <v>43848</v>
      </c>
      <c r="AF206" s="9">
        <f t="shared" si="36"/>
        <v>43543</v>
      </c>
    </row>
    <row r="207" spans="1:32" ht="12.75">
      <c r="A207" s="4" t="s">
        <v>181</v>
      </c>
      <c r="B207" s="14" t="s">
        <v>318</v>
      </c>
      <c r="C207" s="14" t="s">
        <v>318</v>
      </c>
      <c r="D207" s="14" t="s">
        <v>318</v>
      </c>
      <c r="E207" s="14" t="s">
        <v>318</v>
      </c>
      <c r="F207" s="14" t="s">
        <v>318</v>
      </c>
      <c r="G207" s="14" t="s">
        <v>318</v>
      </c>
      <c r="H207" s="14" t="s">
        <v>318</v>
      </c>
      <c r="I207" s="14" t="s">
        <v>318</v>
      </c>
      <c r="J207" s="14" t="s">
        <v>318</v>
      </c>
      <c r="K207" s="14" t="s">
        <v>318</v>
      </c>
      <c r="L207" s="9">
        <v>3127</v>
      </c>
      <c r="M207" s="9">
        <v>3808</v>
      </c>
      <c r="N207" s="9">
        <v>4181</v>
      </c>
      <c r="O207" s="9">
        <v>4856</v>
      </c>
      <c r="P207" s="9">
        <v>5480</v>
      </c>
      <c r="Q207" s="9">
        <v>6684</v>
      </c>
      <c r="R207" s="10">
        <v>6402</v>
      </c>
      <c r="S207" s="10">
        <v>7205</v>
      </c>
      <c r="T207" s="10">
        <v>7813</v>
      </c>
      <c r="U207" s="10">
        <v>7399</v>
      </c>
      <c r="V207" s="10">
        <v>7632</v>
      </c>
      <c r="Y207" s="9">
        <f t="shared" si="29"/>
        <v>47422</v>
      </c>
      <c r="Z207" s="9">
        <f t="shared" si="30"/>
        <v>47638</v>
      </c>
      <c r="AA207" s="9">
        <f t="shared" si="31"/>
        <v>46819</v>
      </c>
      <c r="AB207" s="9">
        <f t="shared" si="32"/>
        <v>45095</v>
      </c>
      <c r="AC207" s="9">
        <f t="shared" si="33"/>
        <v>44838</v>
      </c>
      <c r="AD207" s="9">
        <f t="shared" si="34"/>
        <v>48758</v>
      </c>
      <c r="AE207" s="9">
        <f t="shared" si="35"/>
        <v>50250</v>
      </c>
      <c r="AF207" s="9">
        <f t="shared" si="36"/>
        <v>50748</v>
      </c>
    </row>
    <row r="208" spans="1:32" ht="12.75">
      <c r="A208" s="4" t="s">
        <v>182</v>
      </c>
      <c r="B208" s="14" t="s">
        <v>318</v>
      </c>
      <c r="C208" s="14" t="s">
        <v>318</v>
      </c>
      <c r="D208" s="14" t="s">
        <v>318</v>
      </c>
      <c r="E208" s="14" t="s">
        <v>318</v>
      </c>
      <c r="F208" s="14" t="s">
        <v>318</v>
      </c>
      <c r="G208" s="14" t="s">
        <v>318</v>
      </c>
      <c r="H208" s="14" t="s">
        <v>318</v>
      </c>
      <c r="I208" s="14" t="s">
        <v>318</v>
      </c>
      <c r="J208" s="14" t="s">
        <v>318</v>
      </c>
      <c r="K208" s="14" t="s">
        <v>318</v>
      </c>
      <c r="L208" s="9">
        <v>1979</v>
      </c>
      <c r="M208" s="9">
        <v>2566</v>
      </c>
      <c r="N208" s="9">
        <v>3046</v>
      </c>
      <c r="O208" s="9">
        <v>3599</v>
      </c>
      <c r="P208" s="9">
        <v>4292</v>
      </c>
      <c r="Q208" s="9">
        <v>5477</v>
      </c>
      <c r="R208" s="10">
        <v>5249</v>
      </c>
      <c r="S208" s="10">
        <v>6166</v>
      </c>
      <c r="T208" s="10">
        <v>7214</v>
      </c>
      <c r="U208" s="10">
        <v>7381</v>
      </c>
      <c r="V208" s="10">
        <v>8031</v>
      </c>
      <c r="Y208" s="9">
        <f t="shared" si="29"/>
        <v>49401</v>
      </c>
      <c r="Z208" s="9">
        <f t="shared" si="30"/>
        <v>50204</v>
      </c>
      <c r="AA208" s="9">
        <f t="shared" si="31"/>
        <v>49865</v>
      </c>
      <c r="AB208" s="9">
        <f t="shared" si="32"/>
        <v>48694</v>
      </c>
      <c r="AC208" s="9">
        <f t="shared" si="33"/>
        <v>49130</v>
      </c>
      <c r="AD208" s="9">
        <f t="shared" si="34"/>
        <v>54235</v>
      </c>
      <c r="AE208" s="9">
        <f t="shared" si="35"/>
        <v>55499</v>
      </c>
      <c r="AF208" s="9">
        <f t="shared" si="36"/>
        <v>56914</v>
      </c>
    </row>
    <row r="209" spans="1:32" ht="12.75">
      <c r="A209" s="4" t="s">
        <v>183</v>
      </c>
      <c r="B209" s="14" t="s">
        <v>318</v>
      </c>
      <c r="C209" s="14" t="s">
        <v>318</v>
      </c>
      <c r="D209" s="14" t="s">
        <v>318</v>
      </c>
      <c r="E209" s="14" t="s">
        <v>318</v>
      </c>
      <c r="F209" s="14" t="s">
        <v>318</v>
      </c>
      <c r="G209" s="14" t="s">
        <v>318</v>
      </c>
      <c r="H209" s="14" t="s">
        <v>318</v>
      </c>
      <c r="I209" s="14" t="s">
        <v>318</v>
      </c>
      <c r="J209" s="14" t="s">
        <v>318</v>
      </c>
      <c r="K209" s="14" t="s">
        <v>318</v>
      </c>
      <c r="L209" s="9">
        <v>1003</v>
      </c>
      <c r="M209" s="9">
        <v>1345</v>
      </c>
      <c r="N209" s="9">
        <v>1732</v>
      </c>
      <c r="O209" s="9">
        <v>2162</v>
      </c>
      <c r="P209" s="9">
        <v>2665</v>
      </c>
      <c r="Q209" s="9">
        <v>3518</v>
      </c>
      <c r="R209" s="10">
        <v>3602</v>
      </c>
      <c r="S209" s="10">
        <v>4240</v>
      </c>
      <c r="T209" s="10">
        <v>5245</v>
      </c>
      <c r="U209" s="10">
        <v>5462</v>
      </c>
      <c r="V209" s="10">
        <v>6184</v>
      </c>
      <c r="Y209" s="9">
        <f t="shared" si="29"/>
        <v>50404</v>
      </c>
      <c r="Z209" s="9">
        <f t="shared" si="30"/>
        <v>51549</v>
      </c>
      <c r="AA209" s="9">
        <f t="shared" si="31"/>
        <v>51597</v>
      </c>
      <c r="AB209" s="9">
        <f t="shared" si="32"/>
        <v>50856</v>
      </c>
      <c r="AC209" s="9">
        <f t="shared" si="33"/>
        <v>51795</v>
      </c>
      <c r="AD209" s="9">
        <f t="shared" si="34"/>
        <v>57753</v>
      </c>
      <c r="AE209" s="9">
        <f t="shared" si="35"/>
        <v>59101</v>
      </c>
      <c r="AF209" s="9">
        <f t="shared" si="36"/>
        <v>61154</v>
      </c>
    </row>
    <row r="210" spans="1:32" ht="12.75">
      <c r="A210" s="4" t="s">
        <v>186</v>
      </c>
      <c r="B210" s="14" t="s">
        <v>318</v>
      </c>
      <c r="C210" s="14" t="s">
        <v>318</v>
      </c>
      <c r="D210" s="14" t="s">
        <v>318</v>
      </c>
      <c r="E210" s="14" t="s">
        <v>318</v>
      </c>
      <c r="F210" s="14" t="s">
        <v>318</v>
      </c>
      <c r="G210" s="14" t="s">
        <v>318</v>
      </c>
      <c r="H210" s="14" t="s">
        <v>318</v>
      </c>
      <c r="I210" s="14" t="s">
        <v>318</v>
      </c>
      <c r="J210" s="14" t="s">
        <v>318</v>
      </c>
      <c r="K210" s="14" t="s">
        <v>318</v>
      </c>
      <c r="L210" s="9">
        <v>1241</v>
      </c>
      <c r="M210" s="9">
        <v>1597</v>
      </c>
      <c r="N210" s="9">
        <v>2643</v>
      </c>
      <c r="O210" s="9">
        <v>3746</v>
      </c>
      <c r="P210" s="9">
        <v>3946</v>
      </c>
      <c r="Q210" s="9">
        <v>5791</v>
      </c>
      <c r="R210" s="10">
        <v>6386</v>
      </c>
      <c r="S210" s="10">
        <v>7642</v>
      </c>
      <c r="T210" s="10">
        <v>11137</v>
      </c>
      <c r="U210" s="10">
        <v>12492</v>
      </c>
      <c r="V210" s="10">
        <v>15971</v>
      </c>
      <c r="Y210" s="9">
        <f t="shared" si="29"/>
        <v>51645</v>
      </c>
      <c r="Z210" s="9">
        <f t="shared" si="30"/>
        <v>53146</v>
      </c>
      <c r="AA210" s="9">
        <f t="shared" si="31"/>
        <v>54240</v>
      </c>
      <c r="AB210" s="9">
        <f t="shared" si="32"/>
        <v>54602</v>
      </c>
      <c r="AC210" s="9">
        <f t="shared" si="33"/>
        <v>55741</v>
      </c>
      <c r="AD210" s="9">
        <f t="shared" si="34"/>
        <v>63544</v>
      </c>
      <c r="AE210" s="9">
        <f t="shared" si="35"/>
        <v>65487</v>
      </c>
      <c r="AF210" s="9">
        <f t="shared" si="36"/>
        <v>68796</v>
      </c>
    </row>
    <row r="211" spans="1:32" ht="12.75">
      <c r="A211" s="4" t="s">
        <v>304</v>
      </c>
      <c r="B211" s="14" t="s">
        <v>318</v>
      </c>
      <c r="C211" s="14" t="s">
        <v>318</v>
      </c>
      <c r="D211" s="14" t="s">
        <v>318</v>
      </c>
      <c r="E211" s="14" t="s">
        <v>318</v>
      </c>
      <c r="F211" s="14" t="s">
        <v>318</v>
      </c>
      <c r="G211" s="14" t="s">
        <v>318</v>
      </c>
      <c r="H211" s="14" t="s">
        <v>318</v>
      </c>
      <c r="I211" s="14" t="s">
        <v>318</v>
      </c>
      <c r="J211" s="14" t="s">
        <v>318</v>
      </c>
      <c r="K211" s="14" t="s">
        <v>318</v>
      </c>
      <c r="L211" s="9">
        <v>4502</v>
      </c>
      <c r="M211" s="9">
        <v>5019</v>
      </c>
      <c r="N211" s="9">
        <v>5676</v>
      </c>
      <c r="O211" s="9">
        <v>5192</v>
      </c>
      <c r="P211" s="9">
        <v>5512</v>
      </c>
      <c r="R211" s="10"/>
      <c r="S211" s="10"/>
      <c r="T211" s="10"/>
      <c r="U211" s="10"/>
      <c r="V211" s="10"/>
      <c r="Y211" s="9">
        <f t="shared" si="29"/>
        <v>56147</v>
      </c>
      <c r="Z211" s="9">
        <f t="shared" si="30"/>
        <v>58165</v>
      </c>
      <c r="AA211" s="9">
        <f t="shared" si="31"/>
        <v>59916</v>
      </c>
      <c r="AB211" s="9">
        <f t="shared" si="32"/>
        <v>59794</v>
      </c>
      <c r="AC211" s="9">
        <f t="shared" si="33"/>
        <v>61253</v>
      </c>
      <c r="AD211" s="9">
        <f t="shared" si="34"/>
        <v>63544</v>
      </c>
      <c r="AE211" s="9">
        <f t="shared" si="35"/>
        <v>65487</v>
      </c>
      <c r="AF211" s="9">
        <f t="shared" si="36"/>
        <v>68796</v>
      </c>
    </row>
    <row r="212" spans="1:32" ht="12.75">
      <c r="A212" s="4" t="s">
        <v>251</v>
      </c>
      <c r="B212" s="14" t="s">
        <v>318</v>
      </c>
      <c r="C212" s="14" t="s">
        <v>318</v>
      </c>
      <c r="D212" s="14" t="s">
        <v>318</v>
      </c>
      <c r="E212" s="14" t="s">
        <v>318</v>
      </c>
      <c r="F212" s="14" t="s">
        <v>318</v>
      </c>
      <c r="G212" s="14" t="s">
        <v>318</v>
      </c>
      <c r="H212" s="14" t="s">
        <v>318</v>
      </c>
      <c r="I212" s="14" t="s">
        <v>318</v>
      </c>
      <c r="J212" s="14" t="s">
        <v>318</v>
      </c>
      <c r="K212" s="14" t="s">
        <v>318</v>
      </c>
      <c r="R212" s="10"/>
      <c r="S212" s="10"/>
      <c r="T212" s="10"/>
      <c r="U212" s="10"/>
      <c r="V212" s="10"/>
      <c r="Y212" s="9">
        <f aca="true" t="shared" si="37" ref="Y212:AF212">Y211/2</f>
        <v>28073.5</v>
      </c>
      <c r="Z212" s="9">
        <f t="shared" si="37"/>
        <v>29082.5</v>
      </c>
      <c r="AA212" s="9">
        <f t="shared" si="37"/>
        <v>29958</v>
      </c>
      <c r="AB212" s="9">
        <f t="shared" si="37"/>
        <v>29897</v>
      </c>
      <c r="AC212" s="9">
        <f t="shared" si="37"/>
        <v>30626.5</v>
      </c>
      <c r="AD212" s="9">
        <f t="shared" si="37"/>
        <v>31772</v>
      </c>
      <c r="AE212" s="9">
        <f t="shared" si="37"/>
        <v>32743.5</v>
      </c>
      <c r="AF212" s="9">
        <f t="shared" si="37"/>
        <v>34398</v>
      </c>
    </row>
    <row r="213" spans="1:32" ht="12.75">
      <c r="A213" s="4" t="s">
        <v>86</v>
      </c>
      <c r="B213" s="14" t="s">
        <v>318</v>
      </c>
      <c r="C213" s="14" t="s">
        <v>318</v>
      </c>
      <c r="D213" s="14" t="s">
        <v>318</v>
      </c>
      <c r="E213" s="14" t="s">
        <v>318</v>
      </c>
      <c r="F213" s="14" t="s">
        <v>318</v>
      </c>
      <c r="G213" s="14" t="s">
        <v>318</v>
      </c>
      <c r="H213" s="14" t="s">
        <v>318</v>
      </c>
      <c r="I213" s="14" t="s">
        <v>318</v>
      </c>
      <c r="J213" s="14" t="s">
        <v>318</v>
      </c>
      <c r="K213" s="14" t="s">
        <v>318</v>
      </c>
      <c r="L213" s="26">
        <v>348</v>
      </c>
      <c r="M213" s="26">
        <v>375</v>
      </c>
      <c r="N213" s="26"/>
      <c r="O213" s="26">
        <v>455</v>
      </c>
      <c r="P213" s="26">
        <v>511</v>
      </c>
      <c r="Q213" s="26">
        <v>563</v>
      </c>
      <c r="R213" s="39">
        <v>534</v>
      </c>
      <c r="S213" s="39">
        <v>581</v>
      </c>
      <c r="T213" s="39">
        <v>686</v>
      </c>
      <c r="U213" s="39">
        <v>718</v>
      </c>
      <c r="V213" s="39">
        <v>809</v>
      </c>
      <c r="Y213" s="26">
        <v>348</v>
      </c>
      <c r="Z213" s="26">
        <v>375</v>
      </c>
      <c r="AA213" s="26"/>
      <c r="AB213" s="26">
        <v>455</v>
      </c>
      <c r="AC213" s="26">
        <v>511</v>
      </c>
      <c r="AD213" s="26">
        <v>563</v>
      </c>
      <c r="AE213" s="39">
        <v>534</v>
      </c>
      <c r="AF213" s="39">
        <v>581</v>
      </c>
    </row>
    <row r="214" spans="1:32" ht="12.75">
      <c r="A214" s="4"/>
      <c r="R214" s="10"/>
      <c r="S214" s="10"/>
      <c r="T214" s="10"/>
      <c r="U214" s="10"/>
      <c r="V214" s="10"/>
      <c r="Y214" s="26">
        <f>300+50*(0)+(Y212-Y200)/(Y201-Y200)*50</f>
        <v>334.8184543637575</v>
      </c>
      <c r="Z214" s="26">
        <f>350+50*0+(Z212-Z201)/(Z202-Z201)*50</f>
        <v>368.62579677540305</v>
      </c>
      <c r="AA214" s="26">
        <f>450+50*(AA212-AA203)/(AA204-AA203)</f>
        <v>425.66361003861005</v>
      </c>
      <c r="AB214" s="26">
        <f>450+50*(AB212-AB203)/(AB204-AB203)</f>
        <v>456.0870634530251</v>
      </c>
      <c r="AC214" s="26">
        <f>475+50*(AC212-AC203)/(AC204-AC203)</f>
        <v>511.18244752121484</v>
      </c>
      <c r="AD214" s="26">
        <f>500+100*(AD212-AD203)/(AD204-AD203)</f>
        <v>563.340784393416</v>
      </c>
      <c r="AE214" s="26">
        <f>500+100*(AE212-AE203)/(AE204-AE203)</f>
        <v>533.6188204683434</v>
      </c>
      <c r="AF214" s="26">
        <f>500+100*(AF212-AF203)/(AF204-AF203)</f>
        <v>581.297626823427</v>
      </c>
    </row>
    <row r="215" spans="1:34" ht="12.75">
      <c r="A215" s="4" t="s">
        <v>203</v>
      </c>
      <c r="R215" s="10"/>
      <c r="S215" s="10"/>
      <c r="T215" s="10"/>
      <c r="U215" s="10"/>
      <c r="V215" s="10"/>
      <c r="X215" s="34"/>
      <c r="Y215" s="34">
        <v>1974</v>
      </c>
      <c r="Z215" s="34">
        <v>1975</v>
      </c>
      <c r="AA215" s="34">
        <v>1976</v>
      </c>
      <c r="AB215" s="34">
        <v>1977</v>
      </c>
      <c r="AC215" s="34">
        <v>1978</v>
      </c>
      <c r="AD215" s="34">
        <v>1979</v>
      </c>
      <c r="AE215" s="34">
        <v>1980</v>
      </c>
      <c r="AF215" s="34">
        <v>1981</v>
      </c>
      <c r="AG215" s="34">
        <v>1983</v>
      </c>
      <c r="AH215" s="34">
        <v>1985</v>
      </c>
    </row>
    <row r="216" spans="1:40" ht="12.75">
      <c r="A216" s="4" t="s">
        <v>188</v>
      </c>
      <c r="B216" s="14" t="s">
        <v>242</v>
      </c>
      <c r="C216" s="9">
        <v>1514</v>
      </c>
      <c r="D216" s="50">
        <v>1397</v>
      </c>
      <c r="E216" s="9">
        <v>1288</v>
      </c>
      <c r="F216" s="9">
        <v>1266</v>
      </c>
      <c r="G216" s="9">
        <v>1233</v>
      </c>
      <c r="H216" s="9">
        <v>1246</v>
      </c>
      <c r="I216" s="9">
        <v>1302</v>
      </c>
      <c r="J216" s="9">
        <v>1322</v>
      </c>
      <c r="K216" s="9">
        <v>1306</v>
      </c>
      <c r="L216" s="9">
        <v>1877</v>
      </c>
      <c r="M216" s="9">
        <v>2336</v>
      </c>
      <c r="N216" s="9">
        <v>2832</v>
      </c>
      <c r="O216" s="9">
        <v>2538</v>
      </c>
      <c r="P216" s="9">
        <v>2237</v>
      </c>
      <c r="Q216" s="9">
        <v>2845</v>
      </c>
      <c r="R216" s="10">
        <v>4433</v>
      </c>
      <c r="S216" s="10">
        <v>5163</v>
      </c>
      <c r="T216" s="10">
        <v>4906</v>
      </c>
      <c r="U216" s="10">
        <v>5016</v>
      </c>
      <c r="V216" s="10">
        <v>4051</v>
      </c>
      <c r="Y216" s="9">
        <f aca="true" t="shared" si="38" ref="Y216:AG216">C216</f>
        <v>1514</v>
      </c>
      <c r="Z216" s="9">
        <f t="shared" si="38"/>
        <v>1397</v>
      </c>
      <c r="AA216" s="9">
        <f t="shared" si="38"/>
        <v>1288</v>
      </c>
      <c r="AB216" s="9">
        <f t="shared" si="38"/>
        <v>1266</v>
      </c>
      <c r="AC216" s="9">
        <f t="shared" si="38"/>
        <v>1233</v>
      </c>
      <c r="AD216" s="9">
        <f t="shared" si="38"/>
        <v>1246</v>
      </c>
      <c r="AE216" s="9">
        <f t="shared" si="38"/>
        <v>1302</v>
      </c>
      <c r="AF216" s="9">
        <f t="shared" si="38"/>
        <v>1322</v>
      </c>
      <c r="AG216" s="9">
        <f t="shared" si="38"/>
        <v>1306</v>
      </c>
      <c r="AH216" s="9">
        <f aca="true" t="shared" si="39" ref="AH216:AN216">L216</f>
        <v>1877</v>
      </c>
      <c r="AI216" s="9">
        <f t="shared" si="39"/>
        <v>2336</v>
      </c>
      <c r="AJ216" s="9">
        <f t="shared" si="39"/>
        <v>2832</v>
      </c>
      <c r="AK216" s="9">
        <f t="shared" si="39"/>
        <v>2538</v>
      </c>
      <c r="AL216" s="9">
        <f t="shared" si="39"/>
        <v>2237</v>
      </c>
      <c r="AM216" s="9">
        <f t="shared" si="39"/>
        <v>2845</v>
      </c>
      <c r="AN216" s="9">
        <f t="shared" si="39"/>
        <v>4433</v>
      </c>
    </row>
    <row r="217" spans="1:40" ht="12.75">
      <c r="A217" s="4" t="s">
        <v>189</v>
      </c>
      <c r="B217" s="14" t="s">
        <v>242</v>
      </c>
      <c r="C217" s="9">
        <v>6348</v>
      </c>
      <c r="D217" s="50">
        <v>6263</v>
      </c>
      <c r="E217" s="9">
        <v>6059</v>
      </c>
      <c r="F217" s="9">
        <v>6053</v>
      </c>
      <c r="G217" s="9">
        <v>6226</v>
      </c>
      <c r="H217" s="9">
        <v>6537</v>
      </c>
      <c r="I217" s="9">
        <v>6438</v>
      </c>
      <c r="J217" s="9">
        <v>7018</v>
      </c>
      <c r="K217" s="9">
        <v>6699</v>
      </c>
      <c r="L217" s="9">
        <v>8986</v>
      </c>
      <c r="M217" s="9">
        <v>9099</v>
      </c>
      <c r="N217" s="9">
        <v>9770</v>
      </c>
      <c r="O217" s="9">
        <v>8771</v>
      </c>
      <c r="P217" s="9">
        <v>8072</v>
      </c>
      <c r="Q217" s="9">
        <v>9570</v>
      </c>
      <c r="R217" s="10">
        <v>11438</v>
      </c>
      <c r="S217" s="10">
        <v>11992</v>
      </c>
      <c r="T217" s="10">
        <v>11131</v>
      </c>
      <c r="U217" s="10">
        <v>11223</v>
      </c>
      <c r="V217" s="10">
        <v>10761</v>
      </c>
      <c r="Y217" s="9">
        <f aca="true" t="shared" si="40" ref="Y217:AG225">C217+Y216</f>
        <v>7862</v>
      </c>
      <c r="Z217" s="9">
        <f t="shared" si="40"/>
        <v>7660</v>
      </c>
      <c r="AA217" s="9">
        <f t="shared" si="40"/>
        <v>7347</v>
      </c>
      <c r="AB217" s="9">
        <f t="shared" si="40"/>
        <v>7319</v>
      </c>
      <c r="AC217" s="9">
        <f t="shared" si="40"/>
        <v>7459</v>
      </c>
      <c r="AD217" s="9">
        <f t="shared" si="40"/>
        <v>7783</v>
      </c>
      <c r="AE217" s="9">
        <f t="shared" si="40"/>
        <v>7740</v>
      </c>
      <c r="AF217" s="9">
        <f t="shared" si="40"/>
        <v>8340</v>
      </c>
      <c r="AG217" s="9">
        <f t="shared" si="40"/>
        <v>8005</v>
      </c>
      <c r="AH217" s="9">
        <f aca="true" t="shared" si="41" ref="AH217:AH225">L217+AH216</f>
        <v>10863</v>
      </c>
      <c r="AI217" s="9">
        <f aca="true" t="shared" si="42" ref="AI217:AI225">M217+AI216</f>
        <v>11435</v>
      </c>
      <c r="AJ217" s="9">
        <f aca="true" t="shared" si="43" ref="AJ217:AJ225">N217+AJ216</f>
        <v>12602</v>
      </c>
      <c r="AK217" s="9">
        <f aca="true" t="shared" si="44" ref="AK217:AK225">O217+AK216</f>
        <v>11309</v>
      </c>
      <c r="AL217" s="9">
        <f aca="true" t="shared" si="45" ref="AL217:AL225">P217+AL216</f>
        <v>10309</v>
      </c>
      <c r="AM217" s="9">
        <f aca="true" t="shared" si="46" ref="AM217:AM225">Q217+AM216</f>
        <v>12415</v>
      </c>
      <c r="AN217" s="9">
        <f aca="true" t="shared" si="47" ref="AN217:AN225">R217+AN216</f>
        <v>15871</v>
      </c>
    </row>
    <row r="218" spans="1:40" ht="12.75">
      <c r="A218" s="4" t="s">
        <v>190</v>
      </c>
      <c r="B218" s="14" t="s">
        <v>242</v>
      </c>
      <c r="C218" s="9">
        <v>7743</v>
      </c>
      <c r="D218" s="50">
        <v>7644</v>
      </c>
      <c r="E218" s="9">
        <v>7744</v>
      </c>
      <c r="F218" s="9">
        <v>7662</v>
      </c>
      <c r="G218" s="9">
        <v>7683</v>
      </c>
      <c r="H218" s="9">
        <v>7867</v>
      </c>
      <c r="I218" s="9">
        <v>7940</v>
      </c>
      <c r="J218" s="9">
        <v>8198</v>
      </c>
      <c r="K218" s="9">
        <v>8057</v>
      </c>
      <c r="L218" s="9">
        <v>9729</v>
      </c>
      <c r="M218" s="9">
        <v>9799</v>
      </c>
      <c r="N218" s="9">
        <v>9609</v>
      </c>
      <c r="O218" s="9">
        <v>9525</v>
      </c>
      <c r="P218" s="9">
        <v>9753</v>
      </c>
      <c r="Q218" s="9">
        <v>11260</v>
      </c>
      <c r="R218" s="10">
        <v>11246</v>
      </c>
      <c r="S218" s="10">
        <v>11948</v>
      </c>
      <c r="T218" s="10">
        <v>12316</v>
      </c>
      <c r="U218" s="10">
        <v>11917</v>
      </c>
      <c r="V218" s="10">
        <v>11412</v>
      </c>
      <c r="Y218" s="68">
        <f t="shared" si="40"/>
        <v>15605</v>
      </c>
      <c r="Z218" s="68">
        <f t="shared" si="40"/>
        <v>15304</v>
      </c>
      <c r="AA218" s="68">
        <f t="shared" si="40"/>
        <v>15091</v>
      </c>
      <c r="AB218" s="68">
        <f t="shared" si="40"/>
        <v>14981</v>
      </c>
      <c r="AC218" s="68">
        <f t="shared" si="40"/>
        <v>15142</v>
      </c>
      <c r="AD218" s="68">
        <f t="shared" si="40"/>
        <v>15650</v>
      </c>
      <c r="AE218" s="68">
        <f t="shared" si="40"/>
        <v>15680</v>
      </c>
      <c r="AF218" s="68">
        <f t="shared" si="40"/>
        <v>16538</v>
      </c>
      <c r="AG218" s="68">
        <f t="shared" si="40"/>
        <v>16062</v>
      </c>
      <c r="AH218" s="68">
        <f t="shared" si="41"/>
        <v>20592</v>
      </c>
      <c r="AI218" s="9">
        <f t="shared" si="42"/>
        <v>21234</v>
      </c>
      <c r="AJ218" s="9">
        <f t="shared" si="43"/>
        <v>22211</v>
      </c>
      <c r="AK218" s="9">
        <f t="shared" si="44"/>
        <v>20834</v>
      </c>
      <c r="AL218" s="9">
        <f t="shared" si="45"/>
        <v>20062</v>
      </c>
      <c r="AM218" s="9">
        <f t="shared" si="46"/>
        <v>23675</v>
      </c>
      <c r="AN218" s="9">
        <f t="shared" si="47"/>
        <v>27117</v>
      </c>
    </row>
    <row r="219" spans="1:40" ht="12.75">
      <c r="A219" s="4" t="s">
        <v>200</v>
      </c>
      <c r="B219" s="14" t="s">
        <v>242</v>
      </c>
      <c r="C219" s="9">
        <v>6325</v>
      </c>
      <c r="D219" s="50">
        <v>6553</v>
      </c>
      <c r="E219" s="9">
        <v>6501</v>
      </c>
      <c r="F219" s="9">
        <v>6775</v>
      </c>
      <c r="G219" s="9">
        <v>6674</v>
      </c>
      <c r="H219" s="9">
        <v>6749</v>
      </c>
      <c r="I219" s="9">
        <v>6925</v>
      </c>
      <c r="J219" s="9">
        <v>6900</v>
      </c>
      <c r="K219" s="9">
        <v>6704</v>
      </c>
      <c r="L219" s="9">
        <v>8441</v>
      </c>
      <c r="M219" s="9">
        <v>8605</v>
      </c>
      <c r="N219" s="9">
        <v>8740</v>
      </c>
      <c r="O219" s="9">
        <v>8928</v>
      </c>
      <c r="P219" s="9">
        <v>9892</v>
      </c>
      <c r="Q219" s="9">
        <v>10637</v>
      </c>
      <c r="R219" s="10">
        <v>10232</v>
      </c>
      <c r="S219" s="10">
        <v>11108</v>
      </c>
      <c r="T219" s="10">
        <v>10913</v>
      </c>
      <c r="U219" s="10">
        <v>11165</v>
      </c>
      <c r="V219" s="10">
        <v>11499</v>
      </c>
      <c r="Y219" s="62">
        <f t="shared" si="40"/>
        <v>21930</v>
      </c>
      <c r="Z219" s="62">
        <f t="shared" si="40"/>
        <v>21857</v>
      </c>
      <c r="AA219" s="62">
        <f t="shared" si="40"/>
        <v>21592</v>
      </c>
      <c r="AB219" s="62">
        <f t="shared" si="40"/>
        <v>21756</v>
      </c>
      <c r="AC219" s="62">
        <f t="shared" si="40"/>
        <v>21816</v>
      </c>
      <c r="AD219" s="62">
        <f t="shared" si="40"/>
        <v>22399</v>
      </c>
      <c r="AE219" s="62">
        <f t="shared" si="40"/>
        <v>22605</v>
      </c>
      <c r="AF219" s="62">
        <f t="shared" si="40"/>
        <v>23438</v>
      </c>
      <c r="AG219" s="62">
        <f t="shared" si="40"/>
        <v>22766</v>
      </c>
      <c r="AH219" s="62">
        <f t="shared" si="41"/>
        <v>29033</v>
      </c>
      <c r="AI219" s="9">
        <f t="shared" si="42"/>
        <v>29839</v>
      </c>
      <c r="AJ219" s="9">
        <f t="shared" si="43"/>
        <v>30951</v>
      </c>
      <c r="AK219" s="9">
        <f t="shared" si="44"/>
        <v>29762</v>
      </c>
      <c r="AL219" s="9">
        <f t="shared" si="45"/>
        <v>29954</v>
      </c>
      <c r="AM219" s="9">
        <f t="shared" si="46"/>
        <v>34312</v>
      </c>
      <c r="AN219" s="9">
        <f t="shared" si="47"/>
        <v>37349</v>
      </c>
    </row>
    <row r="220" spans="1:40" ht="12.75">
      <c r="A220" s="4" t="s">
        <v>191</v>
      </c>
      <c r="B220" s="14" t="s">
        <v>242</v>
      </c>
      <c r="C220" s="9">
        <v>3979</v>
      </c>
      <c r="D220" s="50">
        <v>4207</v>
      </c>
      <c r="E220" s="9">
        <v>4511</v>
      </c>
      <c r="F220" s="9">
        <v>4644</v>
      </c>
      <c r="G220" s="9">
        <v>4972</v>
      </c>
      <c r="H220" s="9">
        <v>5171</v>
      </c>
      <c r="I220" s="9">
        <v>5045</v>
      </c>
      <c r="J220" s="9">
        <v>5071</v>
      </c>
      <c r="K220" s="9">
        <v>4957</v>
      </c>
      <c r="L220" s="9">
        <v>6472</v>
      </c>
      <c r="M220" s="9">
        <v>6991</v>
      </c>
      <c r="N220" s="9">
        <v>6838</v>
      </c>
      <c r="O220" s="9">
        <v>7022</v>
      </c>
      <c r="P220" s="9">
        <v>7511</v>
      </c>
      <c r="Q220" s="9">
        <v>8174</v>
      </c>
      <c r="R220" s="10">
        <v>7556</v>
      </c>
      <c r="S220" s="10">
        <v>7761</v>
      </c>
      <c r="T220" s="10">
        <v>8544</v>
      </c>
      <c r="U220" s="10">
        <v>8476</v>
      </c>
      <c r="V220" s="10">
        <v>8947</v>
      </c>
      <c r="Y220" s="9">
        <f t="shared" si="40"/>
        <v>25909</v>
      </c>
      <c r="Z220" s="9">
        <f t="shared" si="40"/>
        <v>26064</v>
      </c>
      <c r="AA220" s="9">
        <f t="shared" si="40"/>
        <v>26103</v>
      </c>
      <c r="AB220" s="9">
        <f t="shared" si="40"/>
        <v>26400</v>
      </c>
      <c r="AC220" s="9">
        <f t="shared" si="40"/>
        <v>26788</v>
      </c>
      <c r="AD220" s="9">
        <f t="shared" si="40"/>
        <v>27570</v>
      </c>
      <c r="AE220" s="9">
        <f t="shared" si="40"/>
        <v>27650</v>
      </c>
      <c r="AF220" s="9">
        <f t="shared" si="40"/>
        <v>28509</v>
      </c>
      <c r="AG220" s="9">
        <f t="shared" si="40"/>
        <v>27723</v>
      </c>
      <c r="AH220" s="9">
        <f t="shared" si="41"/>
        <v>35505</v>
      </c>
      <c r="AI220" s="9">
        <f t="shared" si="42"/>
        <v>36830</v>
      </c>
      <c r="AJ220" s="9">
        <f t="shared" si="43"/>
        <v>37789</v>
      </c>
      <c r="AK220" s="9">
        <f t="shared" si="44"/>
        <v>36784</v>
      </c>
      <c r="AL220" s="9">
        <f t="shared" si="45"/>
        <v>37465</v>
      </c>
      <c r="AM220" s="9">
        <f t="shared" si="46"/>
        <v>42486</v>
      </c>
      <c r="AN220" s="9">
        <f t="shared" si="47"/>
        <v>44905</v>
      </c>
    </row>
    <row r="221" spans="1:40" ht="12.75">
      <c r="A221" s="4" t="s">
        <v>192</v>
      </c>
      <c r="B221" s="14" t="s">
        <v>242</v>
      </c>
      <c r="C221" s="9">
        <v>2332</v>
      </c>
      <c r="D221" s="50">
        <v>2416</v>
      </c>
      <c r="E221" s="9">
        <v>2612</v>
      </c>
      <c r="F221" s="9">
        <v>2852</v>
      </c>
      <c r="G221" s="9">
        <v>3093</v>
      </c>
      <c r="H221" s="9">
        <v>3185</v>
      </c>
      <c r="I221" s="9">
        <v>3263</v>
      </c>
      <c r="J221" s="9">
        <v>3302</v>
      </c>
      <c r="K221" s="9">
        <v>3512</v>
      </c>
      <c r="L221" s="9">
        <v>4690</v>
      </c>
      <c r="M221" s="9">
        <v>4787</v>
      </c>
      <c r="N221" s="9">
        <v>5053</v>
      </c>
      <c r="O221" s="9">
        <v>5197</v>
      </c>
      <c r="P221" s="9">
        <v>5204</v>
      </c>
      <c r="Q221" s="9">
        <v>5523</v>
      </c>
      <c r="R221" s="10">
        <v>5198</v>
      </c>
      <c r="S221" s="10">
        <v>5503</v>
      </c>
      <c r="T221" s="10">
        <v>5932</v>
      </c>
      <c r="U221" s="10">
        <v>6148</v>
      </c>
      <c r="V221" s="10">
        <v>6788</v>
      </c>
      <c r="Y221" s="9">
        <f t="shared" si="40"/>
        <v>28241</v>
      </c>
      <c r="Z221" s="9">
        <f t="shared" si="40"/>
        <v>28480</v>
      </c>
      <c r="AA221" s="9">
        <f t="shared" si="40"/>
        <v>28715</v>
      </c>
      <c r="AB221" s="9">
        <f t="shared" si="40"/>
        <v>29252</v>
      </c>
      <c r="AC221" s="9">
        <f t="shared" si="40"/>
        <v>29881</v>
      </c>
      <c r="AD221" s="9">
        <f t="shared" si="40"/>
        <v>30755</v>
      </c>
      <c r="AE221" s="9">
        <f t="shared" si="40"/>
        <v>30913</v>
      </c>
      <c r="AF221" s="9">
        <f t="shared" si="40"/>
        <v>31811</v>
      </c>
      <c r="AG221" s="9">
        <f t="shared" si="40"/>
        <v>31235</v>
      </c>
      <c r="AH221" s="9">
        <f t="shared" si="41"/>
        <v>40195</v>
      </c>
      <c r="AI221" s="9">
        <f t="shared" si="42"/>
        <v>41617</v>
      </c>
      <c r="AJ221" s="9">
        <f t="shared" si="43"/>
        <v>42842</v>
      </c>
      <c r="AK221" s="9">
        <f t="shared" si="44"/>
        <v>41981</v>
      </c>
      <c r="AL221" s="9">
        <f t="shared" si="45"/>
        <v>42669</v>
      </c>
      <c r="AM221" s="9">
        <f t="shared" si="46"/>
        <v>48009</v>
      </c>
      <c r="AN221" s="9">
        <f t="shared" si="47"/>
        <v>50103</v>
      </c>
    </row>
    <row r="222" spans="1:40" ht="12.75">
      <c r="A222" s="4" t="s">
        <v>193</v>
      </c>
      <c r="B222" s="14" t="s">
        <v>242</v>
      </c>
      <c r="C222" s="9">
        <v>1200</v>
      </c>
      <c r="D222" s="50">
        <v>1370</v>
      </c>
      <c r="E222" s="9">
        <v>1515</v>
      </c>
      <c r="F222" s="9">
        <v>1707</v>
      </c>
      <c r="G222" s="9">
        <v>1872</v>
      </c>
      <c r="H222" s="9">
        <v>1921</v>
      </c>
      <c r="I222" s="9">
        <v>1963</v>
      </c>
      <c r="J222" s="9">
        <v>2077</v>
      </c>
      <c r="K222" s="9">
        <v>2227</v>
      </c>
      <c r="L222" s="9">
        <v>3184</v>
      </c>
      <c r="M222" s="9">
        <v>3167</v>
      </c>
      <c r="N222" s="9">
        <v>3144</v>
      </c>
      <c r="O222" s="9">
        <v>3362</v>
      </c>
      <c r="P222" s="9">
        <v>3368</v>
      </c>
      <c r="Q222" s="9">
        <v>3586</v>
      </c>
      <c r="R222" s="10">
        <v>3486</v>
      </c>
      <c r="S222" s="10">
        <v>3450</v>
      </c>
      <c r="T222" s="10">
        <v>4181</v>
      </c>
      <c r="U222" s="10">
        <v>4234</v>
      </c>
      <c r="V222" s="10">
        <v>4658</v>
      </c>
      <c r="Y222" s="9">
        <f t="shared" si="40"/>
        <v>29441</v>
      </c>
      <c r="Z222" s="9">
        <f t="shared" si="40"/>
        <v>29850</v>
      </c>
      <c r="AA222" s="9">
        <f t="shared" si="40"/>
        <v>30230</v>
      </c>
      <c r="AB222" s="9">
        <f t="shared" si="40"/>
        <v>30959</v>
      </c>
      <c r="AC222" s="9">
        <f t="shared" si="40"/>
        <v>31753</v>
      </c>
      <c r="AD222" s="9">
        <f t="shared" si="40"/>
        <v>32676</v>
      </c>
      <c r="AE222" s="9">
        <f t="shared" si="40"/>
        <v>32876</v>
      </c>
      <c r="AF222" s="9">
        <f t="shared" si="40"/>
        <v>33888</v>
      </c>
      <c r="AG222" s="9">
        <f t="shared" si="40"/>
        <v>33462</v>
      </c>
      <c r="AH222" s="9">
        <f t="shared" si="41"/>
        <v>43379</v>
      </c>
      <c r="AI222" s="9">
        <f t="shared" si="42"/>
        <v>44784</v>
      </c>
      <c r="AJ222" s="9">
        <f t="shared" si="43"/>
        <v>45986</v>
      </c>
      <c r="AK222" s="9">
        <f t="shared" si="44"/>
        <v>45343</v>
      </c>
      <c r="AL222" s="9">
        <f t="shared" si="45"/>
        <v>46037</v>
      </c>
      <c r="AM222" s="9">
        <f t="shared" si="46"/>
        <v>51595</v>
      </c>
      <c r="AN222" s="9">
        <f t="shared" si="47"/>
        <v>53589</v>
      </c>
    </row>
    <row r="223" spans="1:40" ht="12.75">
      <c r="A223" s="4" t="s">
        <v>194</v>
      </c>
      <c r="B223" s="14" t="s">
        <v>242</v>
      </c>
      <c r="C223" s="9">
        <v>660</v>
      </c>
      <c r="D223" s="50">
        <v>798</v>
      </c>
      <c r="E223" s="9">
        <v>874</v>
      </c>
      <c r="F223" s="9">
        <v>991</v>
      </c>
      <c r="G223" s="9">
        <v>1089</v>
      </c>
      <c r="H223" s="9">
        <v>1176</v>
      </c>
      <c r="I223" s="9">
        <v>1252</v>
      </c>
      <c r="J223" s="9">
        <v>1342</v>
      </c>
      <c r="K223" s="9">
        <v>1400</v>
      </c>
      <c r="L223" s="9">
        <v>1911</v>
      </c>
      <c r="M223" s="9">
        <v>2065</v>
      </c>
      <c r="N223" s="9">
        <v>1926</v>
      </c>
      <c r="O223" s="9">
        <v>2213</v>
      </c>
      <c r="P223" s="9">
        <v>2109</v>
      </c>
      <c r="Q223" s="9">
        <v>2402</v>
      </c>
      <c r="R223" s="10">
        <v>2109</v>
      </c>
      <c r="S223" s="10">
        <v>2428</v>
      </c>
      <c r="T223" s="10">
        <v>2728</v>
      </c>
      <c r="U223" s="10">
        <v>2782</v>
      </c>
      <c r="V223" s="10">
        <v>3344</v>
      </c>
      <c r="Y223" s="9">
        <f t="shared" si="40"/>
        <v>30101</v>
      </c>
      <c r="Z223" s="9">
        <f t="shared" si="40"/>
        <v>30648</v>
      </c>
      <c r="AA223" s="9">
        <f t="shared" si="40"/>
        <v>31104</v>
      </c>
      <c r="AB223" s="9">
        <f t="shared" si="40"/>
        <v>31950</v>
      </c>
      <c r="AC223" s="9">
        <f t="shared" si="40"/>
        <v>32842</v>
      </c>
      <c r="AD223" s="9">
        <f t="shared" si="40"/>
        <v>33852</v>
      </c>
      <c r="AE223" s="9">
        <f t="shared" si="40"/>
        <v>34128</v>
      </c>
      <c r="AF223" s="9">
        <f t="shared" si="40"/>
        <v>35230</v>
      </c>
      <c r="AG223" s="9">
        <f t="shared" si="40"/>
        <v>34862</v>
      </c>
      <c r="AH223" s="9">
        <f t="shared" si="41"/>
        <v>45290</v>
      </c>
      <c r="AI223" s="9">
        <f t="shared" si="42"/>
        <v>46849</v>
      </c>
      <c r="AJ223" s="9">
        <f t="shared" si="43"/>
        <v>47912</v>
      </c>
      <c r="AK223" s="9">
        <f t="shared" si="44"/>
        <v>47556</v>
      </c>
      <c r="AL223" s="9">
        <f t="shared" si="45"/>
        <v>48146</v>
      </c>
      <c r="AM223" s="9">
        <f t="shared" si="46"/>
        <v>53997</v>
      </c>
      <c r="AN223" s="9">
        <f t="shared" si="47"/>
        <v>55698</v>
      </c>
    </row>
    <row r="224" spans="1:40" ht="12.75">
      <c r="A224" s="4" t="s">
        <v>195</v>
      </c>
      <c r="B224" s="14" t="s">
        <v>242</v>
      </c>
      <c r="C224" s="9">
        <v>733</v>
      </c>
      <c r="D224" s="50">
        <v>867</v>
      </c>
      <c r="E224" s="9">
        <v>846</v>
      </c>
      <c r="F224" s="9">
        <v>984</v>
      </c>
      <c r="G224" s="9">
        <v>1063</v>
      </c>
      <c r="H224" s="9">
        <v>1267</v>
      </c>
      <c r="I224" s="9">
        <v>1407</v>
      </c>
      <c r="J224" s="9">
        <v>1372</v>
      </c>
      <c r="K224" s="9">
        <v>1546</v>
      </c>
      <c r="L224" s="9">
        <v>2210</v>
      </c>
      <c r="M224" s="9">
        <v>2261</v>
      </c>
      <c r="N224" s="9">
        <v>2188</v>
      </c>
      <c r="O224" s="9">
        <v>2506</v>
      </c>
      <c r="P224" s="9">
        <v>2406</v>
      </c>
      <c r="Q224" s="9">
        <v>2688</v>
      </c>
      <c r="R224" s="10">
        <v>2618</v>
      </c>
      <c r="S224" s="10">
        <v>2610</v>
      </c>
      <c r="T224" s="10">
        <v>3160</v>
      </c>
      <c r="U224" s="10">
        <v>3202</v>
      </c>
      <c r="V224" s="10">
        <v>3769</v>
      </c>
      <c r="Y224" s="9">
        <f t="shared" si="40"/>
        <v>30834</v>
      </c>
      <c r="Z224" s="9">
        <f t="shared" si="40"/>
        <v>31515</v>
      </c>
      <c r="AA224" s="9">
        <f t="shared" si="40"/>
        <v>31950</v>
      </c>
      <c r="AB224" s="9">
        <f t="shared" si="40"/>
        <v>32934</v>
      </c>
      <c r="AC224" s="9">
        <f t="shared" si="40"/>
        <v>33905</v>
      </c>
      <c r="AD224" s="9">
        <f t="shared" si="40"/>
        <v>35119</v>
      </c>
      <c r="AE224" s="9">
        <f t="shared" si="40"/>
        <v>35535</v>
      </c>
      <c r="AF224" s="9">
        <f t="shared" si="40"/>
        <v>36602</v>
      </c>
      <c r="AG224" s="9">
        <f t="shared" si="40"/>
        <v>36408</v>
      </c>
      <c r="AH224" s="9">
        <f t="shared" si="41"/>
        <v>47500</v>
      </c>
      <c r="AI224" s="9">
        <f t="shared" si="42"/>
        <v>49110</v>
      </c>
      <c r="AJ224" s="9">
        <f t="shared" si="43"/>
        <v>50100</v>
      </c>
      <c r="AK224" s="9">
        <f t="shared" si="44"/>
        <v>50062</v>
      </c>
      <c r="AL224" s="9">
        <f t="shared" si="45"/>
        <v>50552</v>
      </c>
      <c r="AM224" s="9">
        <f t="shared" si="46"/>
        <v>56685</v>
      </c>
      <c r="AN224" s="9">
        <f t="shared" si="47"/>
        <v>58316</v>
      </c>
    </row>
    <row r="225" spans="1:40" ht="12.75">
      <c r="A225" s="25" t="s">
        <v>258</v>
      </c>
      <c r="B225" s="14" t="s">
        <v>242</v>
      </c>
      <c r="C225" s="9">
        <v>1200</v>
      </c>
      <c r="D225" s="50">
        <v>1302</v>
      </c>
      <c r="E225" s="9">
        <v>1407</v>
      </c>
      <c r="F225" s="9">
        <v>1604</v>
      </c>
      <c r="G225" s="9">
        <v>1784</v>
      </c>
      <c r="H225" s="9">
        <v>1849</v>
      </c>
      <c r="I225" s="9">
        <v>2203</v>
      </c>
      <c r="J225" s="9">
        <v>2354</v>
      </c>
      <c r="K225" s="9">
        <v>2626</v>
      </c>
      <c r="L225" s="9">
        <f>SUM(L227:L229)</f>
        <v>3696</v>
      </c>
      <c r="M225" s="9">
        <f>SUM(M227:M229)</f>
        <v>3758</v>
      </c>
      <c r="N225" s="9">
        <f aca="true" t="shared" si="48" ref="N225:V225">N227+N228+N234+N235</f>
        <v>3692</v>
      </c>
      <c r="O225" s="9">
        <f t="shared" si="48"/>
        <v>4102</v>
      </c>
      <c r="P225" s="9">
        <f t="shared" si="48"/>
        <v>4529</v>
      </c>
      <c r="Q225" s="9">
        <f t="shared" si="48"/>
        <v>5689</v>
      </c>
      <c r="R225" s="9">
        <f t="shared" si="48"/>
        <v>6034</v>
      </c>
      <c r="S225" s="9">
        <f t="shared" si="48"/>
        <v>5641</v>
      </c>
      <c r="T225" s="9">
        <f t="shared" si="48"/>
        <v>6897</v>
      </c>
      <c r="U225" s="9">
        <f t="shared" si="48"/>
        <v>6767</v>
      </c>
      <c r="V225" s="9">
        <f t="shared" si="48"/>
        <v>8859</v>
      </c>
      <c r="Y225" s="9">
        <f t="shared" si="40"/>
        <v>32034</v>
      </c>
      <c r="Z225" s="9">
        <f t="shared" si="40"/>
        <v>32817</v>
      </c>
      <c r="AA225" s="9">
        <f t="shared" si="40"/>
        <v>33357</v>
      </c>
      <c r="AB225" s="9">
        <f t="shared" si="40"/>
        <v>34538</v>
      </c>
      <c r="AC225" s="9">
        <f t="shared" si="40"/>
        <v>35689</v>
      </c>
      <c r="AD225" s="9">
        <f t="shared" si="40"/>
        <v>36968</v>
      </c>
      <c r="AE225" s="9">
        <f t="shared" si="40"/>
        <v>37738</v>
      </c>
      <c r="AF225" s="9">
        <f t="shared" si="40"/>
        <v>38956</v>
      </c>
      <c r="AG225" s="9">
        <f t="shared" si="40"/>
        <v>39034</v>
      </c>
      <c r="AH225" s="9">
        <f t="shared" si="41"/>
        <v>51196</v>
      </c>
      <c r="AI225" s="9">
        <f t="shared" si="42"/>
        <v>52868</v>
      </c>
      <c r="AJ225" s="9">
        <f t="shared" si="43"/>
        <v>53792</v>
      </c>
      <c r="AK225" s="9">
        <f t="shared" si="44"/>
        <v>54164</v>
      </c>
      <c r="AL225" s="9">
        <f t="shared" si="45"/>
        <v>55081</v>
      </c>
      <c r="AM225" s="9">
        <f t="shared" si="46"/>
        <v>62374</v>
      </c>
      <c r="AN225" s="9">
        <f t="shared" si="47"/>
        <v>64350</v>
      </c>
    </row>
    <row r="226" spans="1:40" ht="12.75">
      <c r="A226" s="25"/>
      <c r="B226" s="14"/>
      <c r="D226" s="50"/>
      <c r="Y226" s="9">
        <f aca="true" t="shared" si="49" ref="Y226:AG226">Y225/2</f>
        <v>16017</v>
      </c>
      <c r="Z226" s="9">
        <f t="shared" si="49"/>
        <v>16408.5</v>
      </c>
      <c r="AA226" s="9">
        <f t="shared" si="49"/>
        <v>16678.5</v>
      </c>
      <c r="AB226" s="9">
        <f t="shared" si="49"/>
        <v>17269</v>
      </c>
      <c r="AC226" s="9">
        <f t="shared" si="49"/>
        <v>17844.5</v>
      </c>
      <c r="AD226" s="9">
        <f t="shared" si="49"/>
        <v>18484</v>
      </c>
      <c r="AE226" s="9">
        <f t="shared" si="49"/>
        <v>18869</v>
      </c>
      <c r="AF226" s="9">
        <f t="shared" si="49"/>
        <v>19478</v>
      </c>
      <c r="AG226" s="9">
        <f t="shared" si="49"/>
        <v>19517</v>
      </c>
      <c r="AH226" s="9">
        <f>AH225/2</f>
        <v>25598</v>
      </c>
      <c r="AI226" s="9">
        <f aca="true" t="shared" si="50" ref="AI226:AN226">AI225/2</f>
        <v>26434</v>
      </c>
      <c r="AJ226" s="9">
        <f t="shared" si="50"/>
        <v>26896</v>
      </c>
      <c r="AK226" s="9">
        <f t="shared" si="50"/>
        <v>27082</v>
      </c>
      <c r="AL226" s="9">
        <f t="shared" si="50"/>
        <v>27540.5</v>
      </c>
      <c r="AM226" s="9">
        <f t="shared" si="50"/>
        <v>31187</v>
      </c>
      <c r="AN226" s="9">
        <f t="shared" si="50"/>
        <v>32175</v>
      </c>
    </row>
    <row r="227" spans="1:40" ht="12.75">
      <c r="A227" s="4" t="s">
        <v>196</v>
      </c>
      <c r="B227" s="14" t="s">
        <v>242</v>
      </c>
      <c r="D227" s="50"/>
      <c r="L227" s="9">
        <v>1047</v>
      </c>
      <c r="M227" s="9">
        <v>1119</v>
      </c>
      <c r="N227" s="9">
        <v>1015</v>
      </c>
      <c r="O227" s="9">
        <v>1210</v>
      </c>
      <c r="P227" s="9">
        <v>1291</v>
      </c>
      <c r="Q227" s="9">
        <v>1525</v>
      </c>
      <c r="R227" s="10">
        <v>1470</v>
      </c>
      <c r="S227" s="10">
        <v>1292</v>
      </c>
      <c r="T227" s="10">
        <v>1864</v>
      </c>
      <c r="U227" s="10">
        <v>1697</v>
      </c>
      <c r="V227" s="10">
        <v>2175</v>
      </c>
      <c r="Y227" s="9">
        <f aca="true" t="shared" si="51" ref="Y227:AG227">15+5*(Y226-Y218)/(Y219-Y218)</f>
        <v>15.325691699604743</v>
      </c>
      <c r="Z227" s="9">
        <f t="shared" si="51"/>
        <v>15.842743781474134</v>
      </c>
      <c r="AA227" s="9">
        <f t="shared" si="51"/>
        <v>16.220966005229965</v>
      </c>
      <c r="AB227" s="9">
        <f t="shared" si="51"/>
        <v>16.688560885608855</v>
      </c>
      <c r="AC227" s="9">
        <f t="shared" si="51"/>
        <v>17.024647887323944</v>
      </c>
      <c r="AD227" s="9">
        <f t="shared" si="51"/>
        <v>17.099570306712106</v>
      </c>
      <c r="AE227" s="9">
        <f t="shared" si="51"/>
        <v>17.302527075812275</v>
      </c>
      <c r="AF227" s="9">
        <f t="shared" si="51"/>
        <v>17.130434782608695</v>
      </c>
      <c r="AG227" s="9">
        <f t="shared" si="51"/>
        <v>17.576819809069214</v>
      </c>
      <c r="AH227" s="9">
        <f>15+5*(AH226-AH218)/(AH219-AH218)</f>
        <v>17.965288472929746</v>
      </c>
      <c r="AI227" s="9">
        <f aca="true" t="shared" si="52" ref="AI227:AN227">15+5*(AI226-AI218)/(AI219-AI218)</f>
        <v>18.021499128413712</v>
      </c>
      <c r="AJ227" s="9">
        <f t="shared" si="52"/>
        <v>17.680205949656752</v>
      </c>
      <c r="AK227" s="9">
        <f t="shared" si="52"/>
        <v>18.49910394265233</v>
      </c>
      <c r="AL227" s="9">
        <f t="shared" si="52"/>
        <v>18.780074807925597</v>
      </c>
      <c r="AM227" s="9">
        <f t="shared" si="52"/>
        <v>18.53107079063646</v>
      </c>
      <c r="AN227" s="9">
        <f t="shared" si="52"/>
        <v>17.471657544956997</v>
      </c>
    </row>
    <row r="228" spans="1:40" ht="12.75">
      <c r="A228" s="4" t="s">
        <v>197</v>
      </c>
      <c r="B228" s="14" t="s">
        <v>242</v>
      </c>
      <c r="D228" s="50"/>
      <c r="L228" s="9">
        <v>676</v>
      </c>
      <c r="M228" s="9">
        <v>656</v>
      </c>
      <c r="N228" s="9">
        <v>609</v>
      </c>
      <c r="O228" s="9">
        <v>715</v>
      </c>
      <c r="P228" s="9">
        <v>829</v>
      </c>
      <c r="Q228" s="9">
        <v>950</v>
      </c>
      <c r="R228" s="10">
        <v>843</v>
      </c>
      <c r="S228" s="10">
        <v>849</v>
      </c>
      <c r="T228" s="10">
        <v>1057</v>
      </c>
      <c r="U228" s="10">
        <v>989</v>
      </c>
      <c r="V228" s="10">
        <v>1241</v>
      </c>
      <c r="AF228" s="43">
        <v>0.17</v>
      </c>
      <c r="AH228" s="28">
        <v>0.18</v>
      </c>
      <c r="AI228" s="28">
        <v>0.18</v>
      </c>
      <c r="AJ228" s="47">
        <v>0.18</v>
      </c>
      <c r="AK228" s="47">
        <v>0.18</v>
      </c>
      <c r="AL228" s="28">
        <v>0.18</v>
      </c>
      <c r="AM228" s="28">
        <v>0.18</v>
      </c>
      <c r="AN228" s="43">
        <v>0.17</v>
      </c>
    </row>
    <row r="229" spans="1:22" ht="12.75">
      <c r="A229" s="25" t="s">
        <v>303</v>
      </c>
      <c r="B229" s="14" t="s">
        <v>242</v>
      </c>
      <c r="D229" s="50"/>
      <c r="L229" s="9">
        <v>1973</v>
      </c>
      <c r="M229" s="9">
        <v>1983</v>
      </c>
      <c r="N229" s="9">
        <f>SUM(N234:N235)</f>
        <v>2068</v>
      </c>
      <c r="O229" s="9">
        <f aca="true" t="shared" si="53" ref="O229:V229">SUM(O234:O235)</f>
        <v>2177</v>
      </c>
      <c r="P229" s="9">
        <f t="shared" si="53"/>
        <v>2409</v>
      </c>
      <c r="Q229" s="9">
        <f t="shared" si="53"/>
        <v>3214</v>
      </c>
      <c r="R229" s="9">
        <f t="shared" si="53"/>
        <v>3721</v>
      </c>
      <c r="S229" s="9">
        <f t="shared" si="53"/>
        <v>3500</v>
      </c>
      <c r="T229" s="9">
        <f t="shared" si="53"/>
        <v>3976</v>
      </c>
      <c r="U229" s="9">
        <f t="shared" si="53"/>
        <v>4081</v>
      </c>
      <c r="V229" s="9">
        <f t="shared" si="53"/>
        <v>5443</v>
      </c>
    </row>
    <row r="230" spans="1:4" ht="12.75">
      <c r="A230" s="25"/>
      <c r="B230" s="14"/>
      <c r="D230" s="50"/>
    </row>
    <row r="231" spans="1:22" ht="12.75">
      <c r="A231" s="25"/>
      <c r="B231" s="14"/>
      <c r="D231" s="50"/>
      <c r="L231" s="9">
        <f>L225-SUM(L227:L229)</f>
        <v>0</v>
      </c>
      <c r="M231" s="9">
        <f aca="true" t="shared" si="54" ref="M231:V231">M225-SUM(M227:M229)</f>
        <v>0</v>
      </c>
      <c r="N231" s="9">
        <f t="shared" si="54"/>
        <v>0</v>
      </c>
      <c r="O231" s="9">
        <f t="shared" si="54"/>
        <v>0</v>
      </c>
      <c r="P231" s="9">
        <f t="shared" si="54"/>
        <v>0</v>
      </c>
      <c r="Q231" s="9">
        <f t="shared" si="54"/>
        <v>0</v>
      </c>
      <c r="R231" s="9">
        <f t="shared" si="54"/>
        <v>0</v>
      </c>
      <c r="S231" s="9">
        <f t="shared" si="54"/>
        <v>0</v>
      </c>
      <c r="T231" s="9">
        <f t="shared" si="54"/>
        <v>0</v>
      </c>
      <c r="U231" s="9">
        <f t="shared" si="54"/>
        <v>0</v>
      </c>
      <c r="V231" s="9">
        <f t="shared" si="54"/>
        <v>0</v>
      </c>
    </row>
    <row r="232" spans="1:22" ht="12.75">
      <c r="A232" s="25"/>
      <c r="B232" s="14"/>
      <c r="C232" s="9">
        <f>C267-SUM(C216:C225)-C236-C237</f>
        <v>-1</v>
      </c>
      <c r="D232" s="9">
        <f aca="true" t="shared" si="55" ref="D232:K232">D267-SUM(D216:D225)-D236-D237</f>
        <v>0</v>
      </c>
      <c r="E232" s="9">
        <f t="shared" si="55"/>
        <v>0</v>
      </c>
      <c r="F232" s="9">
        <f t="shared" si="55"/>
        <v>0</v>
      </c>
      <c r="G232" s="9">
        <f t="shared" si="55"/>
        <v>-2</v>
      </c>
      <c r="H232" s="9">
        <f t="shared" si="55"/>
        <v>0</v>
      </c>
      <c r="I232" s="9">
        <f t="shared" si="55"/>
        <v>-2</v>
      </c>
      <c r="J232" s="9">
        <f t="shared" si="55"/>
        <v>2</v>
      </c>
      <c r="K232" s="9">
        <f t="shared" si="55"/>
        <v>0</v>
      </c>
      <c r="L232" s="9">
        <f aca="true" t="shared" si="56" ref="L232:V232">L39-SUM(L216:L225)-L236-L237</f>
        <v>0</v>
      </c>
      <c r="M232" s="9">
        <f t="shared" si="56"/>
        <v>1</v>
      </c>
      <c r="N232" s="9">
        <f t="shared" si="56"/>
        <v>0</v>
      </c>
      <c r="O232" s="9">
        <f t="shared" si="56"/>
        <v>0</v>
      </c>
      <c r="P232" s="9">
        <f t="shared" si="56"/>
        <v>0</v>
      </c>
      <c r="Q232" s="9">
        <f t="shared" si="56"/>
        <v>1</v>
      </c>
      <c r="R232" s="9">
        <f t="shared" si="56"/>
        <v>-1</v>
      </c>
      <c r="S232" s="9">
        <f t="shared" si="56"/>
        <v>1</v>
      </c>
      <c r="T232" s="9">
        <f t="shared" si="56"/>
        <v>2</v>
      </c>
      <c r="U232" s="9">
        <f t="shared" si="56"/>
        <v>1</v>
      </c>
      <c r="V232" s="9">
        <f t="shared" si="56"/>
        <v>1</v>
      </c>
    </row>
    <row r="233" spans="1:22" ht="12.75">
      <c r="A233" s="25"/>
      <c r="B233" s="14"/>
      <c r="D233" s="50"/>
      <c r="R233" s="10"/>
      <c r="S233" s="10"/>
      <c r="T233" s="10"/>
      <c r="U233" s="10"/>
      <c r="V233" s="10"/>
    </row>
    <row r="234" spans="1:22" ht="12.75">
      <c r="A234" s="4" t="s">
        <v>198</v>
      </c>
      <c r="B234" s="14" t="s">
        <v>242</v>
      </c>
      <c r="D234" s="50"/>
      <c r="N234" s="9">
        <v>814</v>
      </c>
      <c r="O234" s="9">
        <v>967</v>
      </c>
      <c r="P234" s="9">
        <v>1008</v>
      </c>
      <c r="Q234" s="9">
        <v>1185</v>
      </c>
      <c r="R234" s="10">
        <v>1241</v>
      </c>
      <c r="S234" s="10">
        <v>1140</v>
      </c>
      <c r="T234" s="10">
        <v>1443</v>
      </c>
      <c r="U234" s="10">
        <v>1541</v>
      </c>
      <c r="V234" s="10">
        <v>1927</v>
      </c>
    </row>
    <row r="235" spans="1:22" ht="12.75">
      <c r="A235" s="4" t="s">
        <v>199</v>
      </c>
      <c r="B235" s="14" t="s">
        <v>242</v>
      </c>
      <c r="D235" s="50"/>
      <c r="N235" s="9">
        <v>1254</v>
      </c>
      <c r="O235" s="9">
        <v>1210</v>
      </c>
      <c r="P235" s="9">
        <v>1401</v>
      </c>
      <c r="Q235" s="9">
        <v>2029</v>
      </c>
      <c r="R235" s="10">
        <v>2480</v>
      </c>
      <c r="S235" s="10">
        <v>2360</v>
      </c>
      <c r="T235" s="10">
        <v>2533</v>
      </c>
      <c r="U235" s="10">
        <v>2540</v>
      </c>
      <c r="V235" s="10">
        <v>3516</v>
      </c>
    </row>
    <row r="236" spans="1:22" ht="12.75">
      <c r="A236" s="4" t="s">
        <v>248</v>
      </c>
      <c r="B236" s="14" t="s">
        <v>242</v>
      </c>
      <c r="C236" s="9">
        <v>79</v>
      </c>
      <c r="D236" s="50">
        <v>99</v>
      </c>
      <c r="E236" s="9">
        <v>103</v>
      </c>
      <c r="F236" s="9">
        <v>106</v>
      </c>
      <c r="G236" s="9">
        <v>79</v>
      </c>
      <c r="H236" s="9">
        <v>82</v>
      </c>
      <c r="I236" s="9">
        <v>126</v>
      </c>
      <c r="J236" s="9">
        <v>138</v>
      </c>
      <c r="K236" s="9">
        <v>109</v>
      </c>
      <c r="L236" s="9">
        <v>532</v>
      </c>
      <c r="M236" s="9">
        <v>328</v>
      </c>
      <c r="N236" s="9">
        <v>448</v>
      </c>
      <c r="O236" s="9">
        <v>440</v>
      </c>
      <c r="P236" s="9">
        <v>659</v>
      </c>
      <c r="Q236" s="9">
        <v>1169</v>
      </c>
      <c r="R236" s="10">
        <v>1138</v>
      </c>
      <c r="S236" s="10">
        <v>1191</v>
      </c>
      <c r="T236" s="10">
        <v>1555</v>
      </c>
      <c r="U236" s="10">
        <v>1307</v>
      </c>
      <c r="V236" s="10">
        <v>842</v>
      </c>
    </row>
    <row r="237" spans="1:22" ht="12.75">
      <c r="A237" s="4" t="s">
        <v>304</v>
      </c>
      <c r="B237" s="14" t="s">
        <v>242</v>
      </c>
      <c r="C237" s="9">
        <v>4042</v>
      </c>
      <c r="D237" s="50">
        <v>4413</v>
      </c>
      <c r="E237" s="9">
        <v>4474</v>
      </c>
      <c r="F237" s="9">
        <v>4110</v>
      </c>
      <c r="G237" s="9">
        <v>4288</v>
      </c>
      <c r="H237" s="9">
        <v>4286</v>
      </c>
      <c r="I237" s="9">
        <v>4083</v>
      </c>
      <c r="J237" s="9">
        <v>4197</v>
      </c>
      <c r="K237" s="9">
        <v>4392</v>
      </c>
      <c r="L237" s="9">
        <v>4417</v>
      </c>
      <c r="M237" s="9">
        <v>4967</v>
      </c>
      <c r="N237" s="9">
        <v>5676</v>
      </c>
      <c r="O237" s="9">
        <v>5192</v>
      </c>
      <c r="P237" s="9">
        <v>5512</v>
      </c>
      <c r="R237" s="10"/>
      <c r="S237" s="10"/>
      <c r="T237" s="10"/>
      <c r="U237" s="10"/>
      <c r="V237" s="10"/>
    </row>
    <row r="238" spans="1:22" ht="25.5">
      <c r="A238" s="27" t="s">
        <v>204</v>
      </c>
      <c r="B238" s="14" t="s">
        <v>242</v>
      </c>
      <c r="C238" s="14" t="s">
        <v>242</v>
      </c>
      <c r="D238" s="14" t="s">
        <v>242</v>
      </c>
      <c r="E238" s="14" t="s">
        <v>242</v>
      </c>
      <c r="F238" s="14" t="s">
        <v>242</v>
      </c>
      <c r="G238" s="14" t="s">
        <v>242</v>
      </c>
      <c r="H238" s="14" t="s">
        <v>242</v>
      </c>
      <c r="I238" s="14" t="s">
        <v>242</v>
      </c>
      <c r="J238" s="14" t="s">
        <v>242</v>
      </c>
      <c r="K238" s="14" t="s">
        <v>242</v>
      </c>
      <c r="M238" s="28"/>
      <c r="N238" s="28"/>
      <c r="O238" s="47">
        <v>0.18</v>
      </c>
      <c r="P238" s="28">
        <v>0.19</v>
      </c>
      <c r="Q238" s="28">
        <v>0.19</v>
      </c>
      <c r="R238" s="38">
        <v>0.17</v>
      </c>
      <c r="S238" s="38">
        <v>0.17</v>
      </c>
      <c r="T238" s="38">
        <v>0.18</v>
      </c>
      <c r="U238" s="38">
        <v>0.18</v>
      </c>
      <c r="V238" s="38">
        <v>0.2</v>
      </c>
    </row>
    <row r="239" spans="1:22" ht="25.5">
      <c r="A239" s="27" t="s">
        <v>201</v>
      </c>
      <c r="B239" s="51" t="s">
        <v>242</v>
      </c>
      <c r="C239" s="51" t="s">
        <v>242</v>
      </c>
      <c r="D239" s="51" t="s">
        <v>242</v>
      </c>
      <c r="E239" s="51" t="s">
        <v>242</v>
      </c>
      <c r="F239" s="51" t="s">
        <v>242</v>
      </c>
      <c r="G239" s="51" t="s">
        <v>242</v>
      </c>
      <c r="H239" s="51" t="s">
        <v>242</v>
      </c>
      <c r="I239" s="51" t="s">
        <v>242</v>
      </c>
      <c r="J239" s="51" t="s">
        <v>242</v>
      </c>
      <c r="K239" s="51" t="s">
        <v>242</v>
      </c>
      <c r="L239" s="28">
        <v>0.18</v>
      </c>
      <c r="M239" s="28">
        <v>0.18</v>
      </c>
      <c r="N239" s="47">
        <v>0.18</v>
      </c>
      <c r="O239" s="47">
        <v>0.18</v>
      </c>
      <c r="P239" s="28">
        <v>0.18</v>
      </c>
      <c r="Q239" s="28">
        <v>0.18</v>
      </c>
      <c r="R239" s="43">
        <v>0.17</v>
      </c>
      <c r="S239" s="43">
        <v>0.17</v>
      </c>
      <c r="T239" s="43">
        <v>0.18</v>
      </c>
      <c r="U239" s="43">
        <v>0.18</v>
      </c>
      <c r="V239" s="43">
        <v>0.19</v>
      </c>
    </row>
    <row r="240" spans="1:22" ht="12.75">
      <c r="A240" s="27"/>
      <c r="D240" s="1"/>
      <c r="O240" s="44" t="s">
        <v>315</v>
      </c>
      <c r="R240" s="10"/>
      <c r="S240" s="10"/>
      <c r="T240" s="10"/>
      <c r="U240" s="10"/>
      <c r="V240" s="10"/>
    </row>
    <row r="241" spans="1:4" ht="12.75">
      <c r="A241" s="19" t="s">
        <v>94</v>
      </c>
      <c r="D241" s="1"/>
    </row>
    <row r="242" spans="18:22" ht="12.75">
      <c r="R242" s="10"/>
      <c r="S242" s="10"/>
      <c r="T242" s="10"/>
      <c r="U242" s="10"/>
      <c r="V242" s="10"/>
    </row>
    <row r="243" spans="1:22" ht="12.75">
      <c r="A243" s="18" t="s">
        <v>96</v>
      </c>
      <c r="R243" s="10"/>
      <c r="S243" s="10"/>
      <c r="T243" s="10"/>
      <c r="U243" s="10"/>
      <c r="V243" s="10"/>
    </row>
    <row r="244" spans="1:22" ht="12.75">
      <c r="A244" s="18"/>
      <c r="R244" s="10"/>
      <c r="S244" s="10"/>
      <c r="T244" s="10"/>
      <c r="U244" s="10"/>
      <c r="V244" s="10"/>
    </row>
    <row r="245" spans="1:22" ht="12.75">
      <c r="A245" s="18" t="s">
        <v>205</v>
      </c>
      <c r="B245" s="9">
        <v>3393</v>
      </c>
      <c r="C245" s="9">
        <v>2834</v>
      </c>
      <c r="D245" s="9">
        <v>2472</v>
      </c>
      <c r="E245" s="9">
        <v>2033</v>
      </c>
      <c r="F245" s="9">
        <v>1514</v>
      </c>
      <c r="G245" s="9">
        <v>1294</v>
      </c>
      <c r="H245" s="9">
        <v>1072</v>
      </c>
      <c r="I245" s="9">
        <v>850</v>
      </c>
      <c r="J245" s="9">
        <v>746</v>
      </c>
      <c r="K245" s="9">
        <v>633</v>
      </c>
      <c r="L245" s="9">
        <v>2730</v>
      </c>
      <c r="M245" s="9">
        <v>2453</v>
      </c>
      <c r="N245" s="9">
        <v>2341</v>
      </c>
      <c r="O245" s="9">
        <v>2227</v>
      </c>
      <c r="P245" s="9">
        <v>1856</v>
      </c>
      <c r="Q245" s="9">
        <v>1761</v>
      </c>
      <c r="R245" s="10">
        <v>2081</v>
      </c>
      <c r="S245" s="10">
        <v>2062</v>
      </c>
      <c r="T245" s="10">
        <v>1613</v>
      </c>
      <c r="U245" s="10">
        <v>1880</v>
      </c>
      <c r="V245" s="10">
        <v>1762</v>
      </c>
    </row>
    <row r="246" spans="1:22" ht="12.75">
      <c r="A246" s="18" t="s">
        <v>206</v>
      </c>
      <c r="B246" s="9">
        <v>9977</v>
      </c>
      <c r="C246" s="9">
        <v>8369</v>
      </c>
      <c r="D246" s="9">
        <v>7463</v>
      </c>
      <c r="E246" s="9">
        <v>6504</v>
      </c>
      <c r="F246" s="9">
        <v>4943</v>
      </c>
      <c r="G246" s="9">
        <v>3946</v>
      </c>
      <c r="H246" s="9">
        <v>2962</v>
      </c>
      <c r="I246" s="9">
        <v>2547</v>
      </c>
      <c r="J246" s="9">
        <v>2168</v>
      </c>
      <c r="K246" s="9">
        <v>1776</v>
      </c>
      <c r="L246" s="9">
        <v>3304</v>
      </c>
      <c r="M246" s="9">
        <v>2908</v>
      </c>
      <c r="N246" s="9">
        <v>2628</v>
      </c>
      <c r="O246" s="9">
        <v>2691</v>
      </c>
      <c r="P246" s="9">
        <v>2391</v>
      </c>
      <c r="Q246" s="9">
        <v>2179</v>
      </c>
      <c r="R246" s="10">
        <v>1713</v>
      </c>
      <c r="S246" s="10">
        <v>1899</v>
      </c>
      <c r="T246" s="10">
        <v>1502</v>
      </c>
      <c r="U246" s="10">
        <v>1359</v>
      </c>
      <c r="V246" s="10">
        <v>1231</v>
      </c>
    </row>
    <row r="247" spans="1:22" ht="12.75">
      <c r="A247" s="18" t="s">
        <v>207</v>
      </c>
      <c r="B247" s="1"/>
      <c r="C247" s="1"/>
      <c r="D247" s="9">
        <v>9210</v>
      </c>
      <c r="E247" s="9">
        <v>8416</v>
      </c>
      <c r="F247" s="9">
        <v>7202</v>
      </c>
      <c r="G247" s="9">
        <v>6040</v>
      </c>
      <c r="H247" s="9">
        <v>5112</v>
      </c>
      <c r="I247" s="9">
        <v>4388</v>
      </c>
      <c r="J247" s="9">
        <v>3832</v>
      </c>
      <c r="K247" s="9">
        <v>3411</v>
      </c>
      <c r="L247" s="9">
        <v>3707</v>
      </c>
      <c r="M247" s="9">
        <v>3374</v>
      </c>
      <c r="N247" s="9">
        <v>3139</v>
      </c>
      <c r="O247" s="9">
        <v>2898</v>
      </c>
      <c r="P247" s="9">
        <v>2685</v>
      </c>
      <c r="Q247" s="9">
        <v>2396</v>
      </c>
      <c r="R247" s="10">
        <v>2047</v>
      </c>
      <c r="S247" s="10">
        <v>1798</v>
      </c>
      <c r="T247" s="10">
        <v>1721</v>
      </c>
      <c r="U247" s="10">
        <v>1475</v>
      </c>
      <c r="V247" s="10">
        <v>1266</v>
      </c>
    </row>
    <row r="248" spans="1:22" ht="12.75">
      <c r="A248" s="18" t="s">
        <v>208</v>
      </c>
      <c r="B248" s="1"/>
      <c r="C248" s="1"/>
      <c r="D248" s="9">
        <v>8068</v>
      </c>
      <c r="E248" s="9">
        <v>8427</v>
      </c>
      <c r="F248" s="9">
        <v>8289</v>
      </c>
      <c r="G248" s="9">
        <v>7788</v>
      </c>
      <c r="H248" s="9">
        <v>6855</v>
      </c>
      <c r="I248" s="9">
        <v>6156</v>
      </c>
      <c r="J248" s="9">
        <v>5822</v>
      </c>
      <c r="K248" s="9">
        <v>5000</v>
      </c>
      <c r="L248" s="9">
        <v>5243</v>
      </c>
      <c r="M248" s="9">
        <v>4723</v>
      </c>
      <c r="N248" s="9">
        <v>4152</v>
      </c>
      <c r="O248" s="9">
        <v>3588</v>
      </c>
      <c r="P248" s="9">
        <v>3353</v>
      </c>
      <c r="Q248" s="9">
        <v>3115</v>
      </c>
      <c r="R248" s="10">
        <v>2559</v>
      </c>
      <c r="S248" s="10">
        <v>2141</v>
      </c>
      <c r="T248" s="10">
        <v>1821</v>
      </c>
      <c r="U248" s="10">
        <v>1627</v>
      </c>
      <c r="V248" s="10">
        <v>1429</v>
      </c>
    </row>
    <row r="249" spans="1:24" ht="12.75">
      <c r="A249" s="18" t="s">
        <v>209</v>
      </c>
      <c r="B249" s="1"/>
      <c r="C249" s="1"/>
      <c r="D249" s="9">
        <v>4663</v>
      </c>
      <c r="E249" s="9">
        <v>5157</v>
      </c>
      <c r="F249" s="9">
        <v>5944</v>
      </c>
      <c r="G249" s="9">
        <v>6316</v>
      </c>
      <c r="H249" s="9">
        <v>6566</v>
      </c>
      <c r="I249" s="9">
        <v>6387</v>
      </c>
      <c r="J249" s="9">
        <v>6314</v>
      </c>
      <c r="K249" s="9">
        <v>5985</v>
      </c>
      <c r="L249" s="9">
        <v>6344</v>
      </c>
      <c r="M249" s="9">
        <v>5781</v>
      </c>
      <c r="N249" s="9">
        <v>5272</v>
      </c>
      <c r="O249" s="9">
        <v>4574</v>
      </c>
      <c r="P249" s="9">
        <v>4148</v>
      </c>
      <c r="Q249" s="9">
        <v>3509</v>
      </c>
      <c r="R249" s="10">
        <v>3044</v>
      </c>
      <c r="S249" s="10">
        <v>2765</v>
      </c>
      <c r="T249" s="10">
        <v>2355</v>
      </c>
      <c r="U249" s="10">
        <v>1936</v>
      </c>
      <c r="V249" s="10">
        <v>1721</v>
      </c>
      <c r="X249" s="9"/>
    </row>
    <row r="250" spans="1:22" ht="12.75">
      <c r="A250" s="18" t="s">
        <v>210</v>
      </c>
      <c r="C250" s="9">
        <v>1856</v>
      </c>
      <c r="D250" s="9">
        <v>2345</v>
      </c>
      <c r="E250" s="9">
        <v>3094</v>
      </c>
      <c r="F250" s="9">
        <v>3984</v>
      </c>
      <c r="G250" s="9">
        <v>4527</v>
      </c>
      <c r="H250" s="9">
        <v>4937</v>
      </c>
      <c r="I250" s="9">
        <v>4993</v>
      </c>
      <c r="J250" s="9">
        <v>5263</v>
      </c>
      <c r="K250" s="9">
        <v>5136</v>
      </c>
      <c r="L250" s="9">
        <v>5524</v>
      </c>
      <c r="M250" s="9">
        <v>5282</v>
      </c>
      <c r="N250" s="9">
        <v>4773</v>
      </c>
      <c r="O250" s="9">
        <v>4457</v>
      </c>
      <c r="P250" s="9">
        <v>4101</v>
      </c>
      <c r="Q250" s="9">
        <v>3933</v>
      </c>
      <c r="R250" s="10">
        <v>3597</v>
      </c>
      <c r="S250" s="10">
        <v>3248</v>
      </c>
      <c r="T250" s="10">
        <v>2886</v>
      </c>
      <c r="U250" s="10">
        <v>2486</v>
      </c>
      <c r="V250" s="10">
        <v>1954</v>
      </c>
    </row>
    <row r="251" spans="1:22" ht="12.75">
      <c r="A251" s="19" t="s">
        <v>331</v>
      </c>
      <c r="G251" s="9">
        <v>7815</v>
      </c>
      <c r="H251" s="9">
        <v>10243</v>
      </c>
      <c r="I251" s="9">
        <v>11853</v>
      </c>
      <c r="J251" s="9">
        <v>13092</v>
      </c>
      <c r="K251" s="9">
        <v>14328</v>
      </c>
      <c r="L251" s="9">
        <f aca="true" t="shared" si="57" ref="L251:V251">SUM(L259:L261)</f>
        <v>17116</v>
      </c>
      <c r="M251" s="9">
        <f t="shared" si="57"/>
        <v>17020</v>
      </c>
      <c r="N251" s="9">
        <f t="shared" si="57"/>
        <v>16880</v>
      </c>
      <c r="O251" s="9">
        <f t="shared" si="57"/>
        <v>16929</v>
      </c>
      <c r="P251" s="9">
        <f t="shared" si="57"/>
        <v>17502</v>
      </c>
      <c r="Q251" s="9">
        <f t="shared" si="57"/>
        <v>18197</v>
      </c>
      <c r="R251" s="9">
        <f t="shared" si="57"/>
        <v>18243</v>
      </c>
      <c r="S251" s="9">
        <f t="shared" si="57"/>
        <v>17746</v>
      </c>
      <c r="T251" s="9">
        <f t="shared" si="57"/>
        <v>16545</v>
      </c>
      <c r="U251" s="9">
        <f t="shared" si="57"/>
        <v>13867</v>
      </c>
      <c r="V251" s="9">
        <f t="shared" si="57"/>
        <v>12610</v>
      </c>
    </row>
    <row r="252" spans="1:22" ht="12.75">
      <c r="A252" s="19" t="s">
        <v>325</v>
      </c>
      <c r="G252" s="9">
        <v>1620</v>
      </c>
      <c r="H252" s="9">
        <v>2477</v>
      </c>
      <c r="I252" s="9">
        <v>3027</v>
      </c>
      <c r="J252" s="9">
        <v>3782</v>
      </c>
      <c r="K252" s="9">
        <v>4500</v>
      </c>
      <c r="L252" s="9">
        <f aca="true" t="shared" si="58" ref="L252:V252">SUM(L262:L263)</f>
        <v>6840</v>
      </c>
      <c r="M252" s="9">
        <f t="shared" si="58"/>
        <v>7739</v>
      </c>
      <c r="N252" s="9">
        <f t="shared" si="58"/>
        <v>8331</v>
      </c>
      <c r="O252" s="9">
        <f t="shared" si="58"/>
        <v>9282</v>
      </c>
      <c r="P252" s="9">
        <f t="shared" si="58"/>
        <v>11093</v>
      </c>
      <c r="Q252" s="9">
        <f t="shared" si="58"/>
        <v>12725</v>
      </c>
      <c r="R252" s="9">
        <f t="shared" si="58"/>
        <v>14714</v>
      </c>
      <c r="S252" s="9">
        <f t="shared" si="58"/>
        <v>15217</v>
      </c>
      <c r="T252" s="9">
        <f t="shared" si="58"/>
        <v>15615</v>
      </c>
      <c r="U252" s="9">
        <f t="shared" si="58"/>
        <v>14266</v>
      </c>
      <c r="V252" s="9">
        <f t="shared" si="58"/>
        <v>12500</v>
      </c>
    </row>
    <row r="253" spans="1:23" ht="12.75">
      <c r="A253" s="18" t="s">
        <v>95</v>
      </c>
      <c r="G253" s="9">
        <v>438</v>
      </c>
      <c r="H253" s="9">
        <v>659</v>
      </c>
      <c r="I253" s="9">
        <v>1014</v>
      </c>
      <c r="J253" s="9">
        <v>1265</v>
      </c>
      <c r="K253" s="9">
        <v>1508</v>
      </c>
      <c r="L253" s="9">
        <v>2683</v>
      </c>
      <c r="M253" s="9">
        <v>4157</v>
      </c>
      <c r="N253" s="9">
        <v>5079</v>
      </c>
      <c r="O253" s="9">
        <v>5574</v>
      </c>
      <c r="P253" s="9">
        <v>6284</v>
      </c>
      <c r="Q253" s="9">
        <v>7153</v>
      </c>
      <c r="R253" s="10">
        <v>8047</v>
      </c>
      <c r="S253" s="10">
        <v>9129</v>
      </c>
      <c r="T253" s="10">
        <v>10169</v>
      </c>
      <c r="U253" s="10">
        <v>9989</v>
      </c>
      <c r="V253" s="10">
        <v>9751</v>
      </c>
      <c r="W253" s="9"/>
    </row>
    <row r="254" spans="1:22" ht="12.75">
      <c r="A254" s="18" t="s">
        <v>216</v>
      </c>
      <c r="G254" s="9">
        <v>162</v>
      </c>
      <c r="H254" s="9">
        <v>210</v>
      </c>
      <c r="I254" s="9">
        <v>354</v>
      </c>
      <c r="J254" s="9">
        <v>500</v>
      </c>
      <c r="K254" s="9">
        <v>637</v>
      </c>
      <c r="L254" s="9">
        <v>1248</v>
      </c>
      <c r="M254" s="9">
        <v>2036</v>
      </c>
      <c r="N254" s="9">
        <v>2834</v>
      </c>
      <c r="O254" s="9">
        <v>2863</v>
      </c>
      <c r="P254" s="9">
        <v>2999</v>
      </c>
      <c r="Q254" s="9">
        <v>3310</v>
      </c>
      <c r="R254" s="10">
        <v>3771</v>
      </c>
      <c r="S254" s="10">
        <v>4642</v>
      </c>
      <c r="T254" s="10">
        <v>5743</v>
      </c>
      <c r="U254" s="10">
        <v>6358</v>
      </c>
      <c r="V254" s="10">
        <v>6658</v>
      </c>
    </row>
    <row r="255" spans="1:22" ht="12.75">
      <c r="A255" s="18" t="s">
        <v>217</v>
      </c>
      <c r="G255" s="9">
        <v>51</v>
      </c>
      <c r="H255" s="9">
        <v>116</v>
      </c>
      <c r="I255" s="9">
        <v>158</v>
      </c>
      <c r="J255" s="9">
        <v>226</v>
      </c>
      <c r="K255" s="9">
        <v>268</v>
      </c>
      <c r="L255" s="9">
        <v>573</v>
      </c>
      <c r="M255" s="9">
        <v>1029</v>
      </c>
      <c r="N255" s="9">
        <v>1535</v>
      </c>
      <c r="O255" s="9">
        <v>1640</v>
      </c>
      <c r="P255" s="9">
        <v>1734</v>
      </c>
      <c r="Q255" s="9">
        <v>1808</v>
      </c>
      <c r="R255" s="10">
        <v>2030</v>
      </c>
      <c r="S255" s="10">
        <v>2749</v>
      </c>
      <c r="T255" s="10">
        <v>3749</v>
      </c>
      <c r="U255" s="10">
        <v>4561</v>
      </c>
      <c r="V255" s="10">
        <v>4949</v>
      </c>
    </row>
    <row r="256" spans="1:22" ht="12.75">
      <c r="A256" s="18" t="s">
        <v>218</v>
      </c>
      <c r="G256" s="9">
        <v>59</v>
      </c>
      <c r="H256" s="9">
        <v>126</v>
      </c>
      <c r="I256" s="9">
        <v>217</v>
      </c>
      <c r="J256" s="9">
        <v>282</v>
      </c>
      <c r="K256" s="9">
        <v>356</v>
      </c>
      <c r="L256" s="9">
        <v>833</v>
      </c>
      <c r="M256" s="9">
        <v>1662</v>
      </c>
      <c r="N256" s="9">
        <v>2951</v>
      </c>
      <c r="O256" s="9">
        <v>3074</v>
      </c>
      <c r="P256" s="9">
        <v>3104</v>
      </c>
      <c r="Q256" s="9">
        <v>3459</v>
      </c>
      <c r="R256" s="10">
        <v>3641</v>
      </c>
      <c r="S256" s="10">
        <v>5399</v>
      </c>
      <c r="T256" s="10">
        <v>8546</v>
      </c>
      <c r="U256" s="10">
        <v>12434</v>
      </c>
      <c r="V256" s="10">
        <v>19100</v>
      </c>
    </row>
    <row r="257" spans="1:22" ht="12.75">
      <c r="A257" s="18"/>
      <c r="G257" s="9">
        <f>SUM(G245:G256)</f>
        <v>40056</v>
      </c>
      <c r="H257" s="9">
        <f aca="true" t="shared" si="59" ref="H257:V257">SUM(H245:H256)</f>
        <v>41335</v>
      </c>
      <c r="I257" s="9">
        <f t="shared" si="59"/>
        <v>41944</v>
      </c>
      <c r="J257" s="9">
        <f t="shared" si="59"/>
        <v>43292</v>
      </c>
      <c r="K257" s="9">
        <f t="shared" si="59"/>
        <v>43538</v>
      </c>
      <c r="L257" s="9">
        <f t="shared" si="59"/>
        <v>56145</v>
      </c>
      <c r="M257" s="9">
        <f t="shared" si="59"/>
        <v>58164</v>
      </c>
      <c r="N257" s="9">
        <f t="shared" si="59"/>
        <v>59915</v>
      </c>
      <c r="O257" s="9">
        <f t="shared" si="59"/>
        <v>59797</v>
      </c>
      <c r="P257" s="9">
        <f t="shared" si="59"/>
        <v>61250</v>
      </c>
      <c r="Q257" s="9">
        <f t="shared" si="59"/>
        <v>63545</v>
      </c>
      <c r="R257" s="9">
        <f t="shared" si="59"/>
        <v>65487</v>
      </c>
      <c r="S257" s="9">
        <f t="shared" si="59"/>
        <v>68795</v>
      </c>
      <c r="T257" s="9">
        <f t="shared" si="59"/>
        <v>72265</v>
      </c>
      <c r="U257" s="9">
        <f t="shared" si="59"/>
        <v>72238</v>
      </c>
      <c r="V257" s="9">
        <f t="shared" si="59"/>
        <v>74931</v>
      </c>
    </row>
    <row r="258" spans="1:22" ht="12.75">
      <c r="A258" s="19" t="s">
        <v>332</v>
      </c>
      <c r="B258" s="1">
        <v>18884</v>
      </c>
      <c r="C258" s="1">
        <v>20782</v>
      </c>
      <c r="R258" s="10"/>
      <c r="S258" s="10"/>
      <c r="T258" s="10"/>
      <c r="U258" s="10"/>
      <c r="V258" s="10"/>
    </row>
    <row r="259" spans="1:22" ht="12.75">
      <c r="A259" s="18" t="s">
        <v>211</v>
      </c>
      <c r="G259" s="1"/>
      <c r="H259" s="1"/>
      <c r="I259" s="1"/>
      <c r="J259" s="1"/>
      <c r="K259" s="1"/>
      <c r="L259" s="9">
        <v>5719</v>
      </c>
      <c r="M259" s="9">
        <v>5740</v>
      </c>
      <c r="N259" s="9">
        <v>5225</v>
      </c>
      <c r="O259" s="9">
        <v>4963</v>
      </c>
      <c r="P259" s="9">
        <v>4802</v>
      </c>
      <c r="Q259" s="9">
        <v>4807</v>
      </c>
      <c r="R259" s="10">
        <v>4328</v>
      </c>
      <c r="S259" s="10">
        <v>4180</v>
      </c>
      <c r="T259" s="10">
        <v>3762</v>
      </c>
      <c r="U259" s="10">
        <v>2821</v>
      </c>
      <c r="V259" s="10">
        <v>2883</v>
      </c>
    </row>
    <row r="260" spans="1:22" ht="12.75">
      <c r="A260" s="18" t="s">
        <v>212</v>
      </c>
      <c r="G260" s="1"/>
      <c r="H260" s="1"/>
      <c r="I260" s="1"/>
      <c r="J260" s="1"/>
      <c r="K260" s="1"/>
      <c r="L260" s="9">
        <v>4667</v>
      </c>
      <c r="M260" s="9">
        <v>4660</v>
      </c>
      <c r="N260" s="9">
        <v>4531</v>
      </c>
      <c r="O260" s="9">
        <v>4495</v>
      </c>
      <c r="P260" s="9">
        <v>4666</v>
      </c>
      <c r="Q260" s="9">
        <v>4533</v>
      </c>
      <c r="R260" s="10">
        <v>4782</v>
      </c>
      <c r="S260" s="10">
        <v>4481</v>
      </c>
      <c r="T260" s="10">
        <v>4282</v>
      </c>
      <c r="U260" s="10">
        <v>3606</v>
      </c>
      <c r="V260" s="10">
        <v>3357</v>
      </c>
    </row>
    <row r="261" spans="1:22" ht="12.75">
      <c r="A261" s="18" t="s">
        <v>213</v>
      </c>
      <c r="L261" s="9">
        <v>6730</v>
      </c>
      <c r="M261" s="9">
        <v>6620</v>
      </c>
      <c r="N261" s="9">
        <v>7124</v>
      </c>
      <c r="O261" s="9">
        <v>7471</v>
      </c>
      <c r="P261" s="9">
        <v>8034</v>
      </c>
      <c r="Q261" s="9">
        <v>8857</v>
      </c>
      <c r="R261" s="10">
        <v>9133</v>
      </c>
      <c r="S261" s="10">
        <v>9085</v>
      </c>
      <c r="T261" s="10">
        <v>8501</v>
      </c>
      <c r="U261" s="10">
        <v>7440</v>
      </c>
      <c r="V261" s="10">
        <v>6370</v>
      </c>
    </row>
    <row r="262" spans="1:22" ht="12.75">
      <c r="A262" s="18" t="s">
        <v>214</v>
      </c>
      <c r="L262" s="9">
        <v>3536</v>
      </c>
      <c r="M262" s="9">
        <v>3687</v>
      </c>
      <c r="N262" s="9">
        <v>3875</v>
      </c>
      <c r="O262" s="9">
        <v>4376</v>
      </c>
      <c r="P262" s="9">
        <v>5171</v>
      </c>
      <c r="Q262" s="9">
        <v>5628</v>
      </c>
      <c r="R262" s="10">
        <v>6600</v>
      </c>
      <c r="S262" s="10">
        <v>6599</v>
      </c>
      <c r="T262" s="10">
        <v>6511</v>
      </c>
      <c r="U262" s="10">
        <v>5766</v>
      </c>
      <c r="V262" s="10">
        <v>5123</v>
      </c>
    </row>
    <row r="263" spans="1:22" ht="12.75">
      <c r="A263" s="18" t="s">
        <v>215</v>
      </c>
      <c r="L263" s="9">
        <v>3304</v>
      </c>
      <c r="M263" s="9">
        <v>4052</v>
      </c>
      <c r="N263" s="9">
        <v>4456</v>
      </c>
      <c r="O263" s="9">
        <v>4906</v>
      </c>
      <c r="P263" s="9">
        <v>5922</v>
      </c>
      <c r="Q263" s="9">
        <v>7097</v>
      </c>
      <c r="R263" s="10">
        <v>8114</v>
      </c>
      <c r="S263" s="10">
        <v>8618</v>
      </c>
      <c r="T263" s="10">
        <v>9104</v>
      </c>
      <c r="U263" s="10">
        <v>8500</v>
      </c>
      <c r="V263" s="10">
        <v>7377</v>
      </c>
    </row>
    <row r="264" spans="1:22" ht="12.75">
      <c r="A264" s="18" t="s">
        <v>247</v>
      </c>
      <c r="B264" s="10"/>
      <c r="C264" s="10">
        <v>2313</v>
      </c>
      <c r="D264" s="9">
        <v>3107</v>
      </c>
      <c r="E264" s="10">
        <v>4302</v>
      </c>
      <c r="F264" s="10">
        <v>6878</v>
      </c>
      <c r="G264" s="10"/>
      <c r="H264" s="10"/>
      <c r="I264" s="10"/>
      <c r="J264" s="10"/>
      <c r="K264" s="10"/>
      <c r="L264" s="10">
        <v>29293</v>
      </c>
      <c r="M264" s="10">
        <v>33643</v>
      </c>
      <c r="N264" s="10">
        <v>37610</v>
      </c>
      <c r="O264" s="10">
        <v>39362</v>
      </c>
      <c r="P264" s="10">
        <v>42716</v>
      </c>
      <c r="Q264" s="10">
        <v>46652</v>
      </c>
      <c r="R264" s="10">
        <v>50446</v>
      </c>
      <c r="S264" s="10">
        <v>54882</v>
      </c>
      <c r="T264" s="10">
        <v>60367</v>
      </c>
      <c r="U264" s="10">
        <v>61475</v>
      </c>
      <c r="V264" s="10">
        <v>65568</v>
      </c>
    </row>
    <row r="265" spans="1:22" ht="12.75">
      <c r="A265" s="18" t="s">
        <v>330</v>
      </c>
      <c r="B265" s="10">
        <v>2854</v>
      </c>
      <c r="C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31">
        <f>SUM(V250:V257)/SUM(V245:V257)</f>
        <v>0.9505611829549853</v>
      </c>
    </row>
    <row r="266" spans="1:23" ht="12.75">
      <c r="A266" s="18" t="s">
        <v>86</v>
      </c>
      <c r="B266" s="26">
        <v>24100</v>
      </c>
      <c r="C266" s="26">
        <v>27200</v>
      </c>
      <c r="D266" s="37">
        <v>29500</v>
      </c>
      <c r="E266" s="26">
        <v>32300</v>
      </c>
      <c r="F266" s="26">
        <v>36900</v>
      </c>
      <c r="G266" s="26">
        <v>41500</v>
      </c>
      <c r="H266" s="26">
        <v>47100</v>
      </c>
      <c r="I266" s="26">
        <v>51300</v>
      </c>
      <c r="J266" s="26">
        <v>55300</v>
      </c>
      <c r="K266" s="26">
        <v>59700</v>
      </c>
      <c r="L266" s="26">
        <v>62135</v>
      </c>
      <c r="M266" s="37">
        <v>67946</v>
      </c>
      <c r="N266" s="37">
        <v>75359</v>
      </c>
      <c r="O266" s="37">
        <v>80015</v>
      </c>
      <c r="P266" s="37">
        <v>86529</v>
      </c>
      <c r="Q266" s="37">
        <v>92507</v>
      </c>
      <c r="R266" s="39">
        <v>98815</v>
      </c>
      <c r="S266" s="39">
        <v>108300</v>
      </c>
      <c r="T266" s="39">
        <v>123887</v>
      </c>
      <c r="U266" s="39">
        <v>140201</v>
      </c>
      <c r="V266" s="39">
        <v>165344</v>
      </c>
      <c r="W266" s="31">
        <f>(V266/B266)^(1/32)-1</f>
        <v>0.062029563218397143</v>
      </c>
    </row>
    <row r="267" spans="1:22" ht="12.75">
      <c r="A267" s="18" t="s">
        <v>246</v>
      </c>
      <c r="B267" s="10">
        <v>35107</v>
      </c>
      <c r="C267" s="10">
        <v>36154</v>
      </c>
      <c r="D267" s="10">
        <v>37329</v>
      </c>
      <c r="E267" s="10">
        <v>37934</v>
      </c>
      <c r="F267" s="10">
        <v>38754</v>
      </c>
      <c r="G267" s="10">
        <v>40054</v>
      </c>
      <c r="H267" s="10">
        <v>41336</v>
      </c>
      <c r="I267" s="10">
        <v>41945</v>
      </c>
      <c r="J267" s="10">
        <v>43293</v>
      </c>
      <c r="K267" s="10">
        <v>43535</v>
      </c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2:22" ht="12.75">
      <c r="B268" s="22">
        <f aca="true" t="shared" si="60" ref="B268:K268">B266/B267</f>
        <v>0.6864727832056285</v>
      </c>
      <c r="C268" s="22">
        <f t="shared" si="60"/>
        <v>0.7523372240969187</v>
      </c>
      <c r="D268" s="22">
        <f t="shared" si="60"/>
        <v>0.7902702992311608</v>
      </c>
      <c r="E268" s="22">
        <f t="shared" si="60"/>
        <v>0.8514788843781305</v>
      </c>
      <c r="F268" s="22">
        <f t="shared" si="60"/>
        <v>0.9521597770552717</v>
      </c>
      <c r="G268" s="22">
        <f t="shared" si="60"/>
        <v>1.0361012632945523</v>
      </c>
      <c r="H268" s="22">
        <f t="shared" si="60"/>
        <v>1.1394426166053804</v>
      </c>
      <c r="I268" s="22">
        <f t="shared" si="60"/>
        <v>1.2230301585409464</v>
      </c>
      <c r="J268" s="22">
        <f t="shared" si="60"/>
        <v>1.2773427574896634</v>
      </c>
      <c r="K268" s="22">
        <f t="shared" si="60"/>
        <v>1.371310439875962</v>
      </c>
      <c r="R268" s="10"/>
      <c r="S268" s="10"/>
      <c r="T268" s="10"/>
      <c r="U268" s="10"/>
      <c r="V268" s="10"/>
    </row>
    <row r="269" spans="2:22" ht="12.75">
      <c r="B269" s="31">
        <f>B265/B267</f>
        <v>0.08129432876634289</v>
      </c>
      <c r="R269" s="10"/>
      <c r="S269" s="10"/>
      <c r="T269" s="10"/>
      <c r="U269" s="10"/>
      <c r="V269" s="10"/>
    </row>
    <row r="270" spans="2:22" ht="12.75">
      <c r="B270" s="9">
        <f>B267-B245-B246-B258-B265</f>
        <v>-1</v>
      </c>
      <c r="C270" s="9">
        <f>C267-SUM(C245:C246)-C250-C258-C264</f>
        <v>0</v>
      </c>
      <c r="D270" s="9">
        <f>D267-SUM(D245:D250)-D264</f>
        <v>1</v>
      </c>
      <c r="E270" s="9">
        <f>E267-SUM(E245:E250)-E264</f>
        <v>1</v>
      </c>
      <c r="F270" s="9">
        <f>F267-SUM(F245:F250)-F264</f>
        <v>0</v>
      </c>
      <c r="G270" s="9">
        <f>G267-SUM(G245:G256)</f>
        <v>-2</v>
      </c>
      <c r="H270" s="9">
        <f>H267-SUM(H245:H256)</f>
        <v>1</v>
      </c>
      <c r="I270" s="9">
        <f>I267-SUM(I245:I256)</f>
        <v>1</v>
      </c>
      <c r="J270" s="9">
        <f>J267-SUM(J245:J256)</f>
        <v>1</v>
      </c>
      <c r="K270" s="9">
        <f>K267-SUM(K245:K256)</f>
        <v>-3</v>
      </c>
      <c r="R270" s="10"/>
      <c r="S270" s="10"/>
      <c r="T270" s="10"/>
      <c r="U270" s="10"/>
      <c r="V270" s="10"/>
    </row>
    <row r="271" spans="18:22" ht="12.75">
      <c r="R271" s="10"/>
      <c r="S271" s="10"/>
      <c r="T271" s="10"/>
      <c r="U271" s="10"/>
      <c r="V271" s="10"/>
    </row>
    <row r="272" spans="18:22" ht="12.75">
      <c r="R272" s="10"/>
      <c r="S272" s="10"/>
      <c r="T272" s="10"/>
      <c r="U272" s="10"/>
      <c r="V272" s="10"/>
    </row>
    <row r="273" spans="1:22" ht="12.75">
      <c r="A273" s="18" t="s">
        <v>219</v>
      </c>
      <c r="R273" s="10"/>
      <c r="S273" s="10"/>
      <c r="T273" s="10"/>
      <c r="U273" s="10"/>
      <c r="V273" s="10"/>
    </row>
    <row r="274" spans="1:30" ht="12.75">
      <c r="A274" s="18" t="s">
        <v>220</v>
      </c>
      <c r="B274" s="9">
        <v>9765</v>
      </c>
      <c r="C274" s="9">
        <v>10345</v>
      </c>
      <c r="D274" s="9">
        <v>10158</v>
      </c>
      <c r="E274" s="9">
        <v>9672</v>
      </c>
      <c r="F274" s="9">
        <v>8760</v>
      </c>
      <c r="G274" s="9">
        <v>8024</v>
      </c>
      <c r="H274" s="9">
        <v>7612</v>
      </c>
      <c r="I274" s="9">
        <v>7714</v>
      </c>
      <c r="J274" s="9">
        <v>8229</v>
      </c>
      <c r="K274" s="9">
        <v>9296</v>
      </c>
      <c r="L274" s="9">
        <v>16704</v>
      </c>
      <c r="M274" s="9">
        <v>17168</v>
      </c>
      <c r="N274" s="9">
        <v>17355</v>
      </c>
      <c r="O274" s="9">
        <v>17522</v>
      </c>
      <c r="P274" s="9">
        <v>17632</v>
      </c>
      <c r="Q274" s="9">
        <v>18331</v>
      </c>
      <c r="R274" s="10">
        <v>18799</v>
      </c>
      <c r="S274" s="10">
        <v>19599</v>
      </c>
      <c r="T274" s="10">
        <v>18499</v>
      </c>
      <c r="U274" s="10">
        <v>16657</v>
      </c>
      <c r="V274" s="10">
        <v>14387</v>
      </c>
      <c r="Y274" s="9">
        <f aca="true" t="shared" si="61" ref="Y274:AD274">B274</f>
        <v>9765</v>
      </c>
      <c r="Z274" s="9">
        <f t="shared" si="61"/>
        <v>10345</v>
      </c>
      <c r="AA274" s="9">
        <f t="shared" si="61"/>
        <v>10158</v>
      </c>
      <c r="AB274" s="9">
        <f t="shared" si="61"/>
        <v>9672</v>
      </c>
      <c r="AC274" s="9">
        <f t="shared" si="61"/>
        <v>8760</v>
      </c>
      <c r="AD274" s="9">
        <f t="shared" si="61"/>
        <v>8024</v>
      </c>
    </row>
    <row r="275" spans="1:30" ht="12.75">
      <c r="A275" s="18" t="s">
        <v>221</v>
      </c>
      <c r="B275" s="9">
        <v>6802</v>
      </c>
      <c r="C275" s="9">
        <v>6960</v>
      </c>
      <c r="D275" s="9">
        <v>7187</v>
      </c>
      <c r="E275" s="9">
        <v>7175</v>
      </c>
      <c r="F275" s="9">
        <v>7052</v>
      </c>
      <c r="G275" s="9">
        <v>6456</v>
      </c>
      <c r="H275" s="9">
        <v>6436</v>
      </c>
      <c r="I275" s="9">
        <v>6683</v>
      </c>
      <c r="J275" s="9">
        <v>7336</v>
      </c>
      <c r="K275" s="9">
        <v>7585</v>
      </c>
      <c r="L275" s="9">
        <v>8290</v>
      </c>
      <c r="M275" s="9">
        <v>7744</v>
      </c>
      <c r="N275" s="9">
        <v>7829</v>
      </c>
      <c r="O275" s="9">
        <v>7788</v>
      </c>
      <c r="P275" s="9">
        <v>8153</v>
      </c>
      <c r="Q275" s="9">
        <v>8377</v>
      </c>
      <c r="R275" s="10">
        <v>9528</v>
      </c>
      <c r="S275" s="10">
        <v>9832</v>
      </c>
      <c r="T275" s="10">
        <v>9848</v>
      </c>
      <c r="U275" s="10">
        <v>8598</v>
      </c>
      <c r="V275" s="10">
        <v>7559</v>
      </c>
      <c r="Y275" s="9">
        <f aca="true" t="shared" si="62" ref="Y275:AD279">Y274+B275</f>
        <v>16567</v>
      </c>
      <c r="Z275" s="9">
        <f t="shared" si="62"/>
        <v>17305</v>
      </c>
      <c r="AA275" s="9">
        <f t="shared" si="62"/>
        <v>17345</v>
      </c>
      <c r="AB275" s="9">
        <f t="shared" si="62"/>
        <v>16847</v>
      </c>
      <c r="AC275" s="9">
        <f t="shared" si="62"/>
        <v>15812</v>
      </c>
      <c r="AD275" s="9">
        <f t="shared" si="62"/>
        <v>14480</v>
      </c>
    </row>
    <row r="276" spans="1:30" ht="12.75">
      <c r="A276" s="18" t="s">
        <v>222</v>
      </c>
      <c r="B276" s="9">
        <v>5025</v>
      </c>
      <c r="C276" s="9">
        <v>5344</v>
      </c>
      <c r="D276" s="9">
        <v>5468</v>
      </c>
      <c r="E276" s="9">
        <v>5770</v>
      </c>
      <c r="F276" s="9">
        <v>5817</v>
      </c>
      <c r="G276" s="9">
        <v>6088</v>
      </c>
      <c r="H276" s="9">
        <v>6113</v>
      </c>
      <c r="I276" s="9">
        <v>6090</v>
      </c>
      <c r="J276" s="9">
        <v>6392</v>
      </c>
      <c r="K276" s="9">
        <v>6275</v>
      </c>
      <c r="L276" s="9">
        <v>7102</v>
      </c>
      <c r="M276" s="9">
        <v>7171</v>
      </c>
      <c r="N276" s="9">
        <v>6992</v>
      </c>
      <c r="O276" s="9">
        <v>7068</v>
      </c>
      <c r="P276" s="9">
        <v>7097</v>
      </c>
      <c r="Q276" s="9">
        <v>7522</v>
      </c>
      <c r="R276" s="10">
        <v>7971</v>
      </c>
      <c r="S276" s="10">
        <v>8018</v>
      </c>
      <c r="T276" s="10">
        <v>8096</v>
      </c>
      <c r="U276" s="10">
        <v>7754</v>
      </c>
      <c r="V276" s="10">
        <v>7542</v>
      </c>
      <c r="Y276" s="9">
        <f t="shared" si="62"/>
        <v>21592</v>
      </c>
      <c r="Z276" s="9">
        <f t="shared" si="62"/>
        <v>22649</v>
      </c>
      <c r="AA276" s="9">
        <f t="shared" si="62"/>
        <v>22813</v>
      </c>
      <c r="AB276" s="9">
        <f t="shared" si="62"/>
        <v>22617</v>
      </c>
      <c r="AC276" s="9">
        <f t="shared" si="62"/>
        <v>21629</v>
      </c>
      <c r="AD276" s="9">
        <f t="shared" si="62"/>
        <v>20568</v>
      </c>
    </row>
    <row r="277" spans="1:30" ht="12.75">
      <c r="A277" s="18" t="s">
        <v>223</v>
      </c>
      <c r="B277" s="9">
        <v>3431</v>
      </c>
      <c r="C277" s="9">
        <v>3678</v>
      </c>
      <c r="D277" s="9">
        <v>3773</v>
      </c>
      <c r="E277" s="9">
        <v>3988</v>
      </c>
      <c r="F277" s="9">
        <v>4279</v>
      </c>
      <c r="G277" s="9">
        <v>4641</v>
      </c>
      <c r="H277" s="9">
        <v>4779</v>
      </c>
      <c r="I277" s="9">
        <v>4796</v>
      </c>
      <c r="J277" s="9">
        <v>4569</v>
      </c>
      <c r="K277" s="9">
        <v>4484</v>
      </c>
      <c r="L277" s="9">
        <v>4957</v>
      </c>
      <c r="M277" s="9">
        <v>5182</v>
      </c>
      <c r="N277" s="9">
        <v>5184</v>
      </c>
      <c r="O277" s="9">
        <v>5160</v>
      </c>
      <c r="P277" s="9">
        <v>5274</v>
      </c>
      <c r="Q277" s="9">
        <v>5558</v>
      </c>
      <c r="R277" s="10">
        <v>5513</v>
      </c>
      <c r="S277" s="10">
        <v>6004</v>
      </c>
      <c r="T277" s="10">
        <v>6502</v>
      </c>
      <c r="U277" s="10">
        <v>6795</v>
      </c>
      <c r="V277" s="10">
        <v>6131</v>
      </c>
      <c r="Y277" s="9">
        <f t="shared" si="62"/>
        <v>25023</v>
      </c>
      <c r="Z277" s="9">
        <f t="shared" si="62"/>
        <v>26327</v>
      </c>
      <c r="AA277" s="9">
        <f t="shared" si="62"/>
        <v>26586</v>
      </c>
      <c r="AB277" s="9">
        <f t="shared" si="62"/>
        <v>26605</v>
      </c>
      <c r="AC277" s="9">
        <f t="shared" si="62"/>
        <v>25908</v>
      </c>
      <c r="AD277" s="9">
        <f t="shared" si="62"/>
        <v>25209</v>
      </c>
    </row>
    <row r="278" spans="1:40" ht="12.75">
      <c r="A278" s="18" t="s">
        <v>224</v>
      </c>
      <c r="B278" s="9">
        <v>3815</v>
      </c>
      <c r="C278" s="9">
        <v>3836</v>
      </c>
      <c r="D278" s="9">
        <v>4182</v>
      </c>
      <c r="E278" s="9">
        <v>4418</v>
      </c>
      <c r="F278" s="9">
        <v>4867</v>
      </c>
      <c r="G278" s="9">
        <v>5480</v>
      </c>
      <c r="H278" s="9">
        <v>5780</v>
      </c>
      <c r="I278" s="9">
        <v>5771</v>
      </c>
      <c r="J278" s="9">
        <v>5834</v>
      </c>
      <c r="K278" s="9">
        <v>5375</v>
      </c>
      <c r="L278" s="9">
        <v>5987</v>
      </c>
      <c r="M278" s="9">
        <v>6428</v>
      </c>
      <c r="N278" s="9">
        <v>6669</v>
      </c>
      <c r="O278" s="9">
        <v>6704</v>
      </c>
      <c r="P278" s="9">
        <v>6908</v>
      </c>
      <c r="Q278" s="9">
        <v>7240</v>
      </c>
      <c r="R278" s="10">
        <v>6780</v>
      </c>
      <c r="S278" s="10">
        <v>7308</v>
      </c>
      <c r="T278" s="10">
        <v>8564</v>
      </c>
      <c r="U278" s="10">
        <v>8926</v>
      </c>
      <c r="V278" s="10">
        <v>9865</v>
      </c>
      <c r="Y278" s="9">
        <f t="shared" si="62"/>
        <v>28838</v>
      </c>
      <c r="Z278" s="9">
        <f t="shared" si="62"/>
        <v>30163</v>
      </c>
      <c r="AA278" s="9">
        <f t="shared" si="62"/>
        <v>30768</v>
      </c>
      <c r="AB278" s="9">
        <f t="shared" si="62"/>
        <v>31023</v>
      </c>
      <c r="AC278" s="9">
        <f t="shared" si="62"/>
        <v>30775</v>
      </c>
      <c r="AD278" s="9">
        <f t="shared" si="62"/>
        <v>30689</v>
      </c>
      <c r="AN278" s="9"/>
    </row>
    <row r="279" spans="1:40" ht="12.75">
      <c r="A279" s="18" t="s">
        <v>249</v>
      </c>
      <c r="B279" s="10">
        <v>5917</v>
      </c>
      <c r="C279" s="10">
        <v>5890</v>
      </c>
      <c r="D279" s="9">
        <v>6420</v>
      </c>
      <c r="E279" s="10">
        <v>6755</v>
      </c>
      <c r="F279" s="10">
        <f aca="true" t="shared" si="63" ref="F279:K279">SUM(F282:F283)</f>
        <v>7821</v>
      </c>
      <c r="G279" s="10">
        <f t="shared" si="63"/>
        <v>9169</v>
      </c>
      <c r="H279" s="10">
        <f t="shared" si="63"/>
        <v>10460</v>
      </c>
      <c r="I279" s="10">
        <f t="shared" si="63"/>
        <v>10630</v>
      </c>
      <c r="J279" s="10">
        <f t="shared" si="63"/>
        <v>10648</v>
      </c>
      <c r="K279" s="10">
        <f t="shared" si="63"/>
        <v>10312</v>
      </c>
      <c r="L279" s="10">
        <v>12522</v>
      </c>
      <c r="M279" s="10">
        <v>14100</v>
      </c>
      <c r="N279" s="10">
        <v>15329</v>
      </c>
      <c r="O279" s="10">
        <v>14960</v>
      </c>
      <c r="P279" s="10">
        <v>15279</v>
      </c>
      <c r="Q279" s="10">
        <v>15294</v>
      </c>
      <c r="R279" s="10">
        <v>15758</v>
      </c>
      <c r="S279" s="10">
        <v>16843</v>
      </c>
      <c r="T279" s="10">
        <v>19202</v>
      </c>
      <c r="U279" s="10">
        <v>22201</v>
      </c>
      <c r="V279" s="10">
        <v>28604</v>
      </c>
      <c r="Y279" s="9">
        <f t="shared" si="62"/>
        <v>34755</v>
      </c>
      <c r="Z279" s="9">
        <f t="shared" si="62"/>
        <v>36053</v>
      </c>
      <c r="AA279" s="9">
        <f t="shared" si="62"/>
        <v>37188</v>
      </c>
      <c r="AB279" s="9">
        <f t="shared" si="62"/>
        <v>37778</v>
      </c>
      <c r="AC279" s="9">
        <f t="shared" si="62"/>
        <v>38596</v>
      </c>
      <c r="AD279" s="9">
        <f t="shared" si="62"/>
        <v>39858</v>
      </c>
      <c r="AN279" s="9"/>
    </row>
    <row r="280" spans="1:40" ht="12.75">
      <c r="A280" s="18"/>
      <c r="R280" s="10"/>
      <c r="S280" s="10"/>
      <c r="T280" s="10"/>
      <c r="U280" s="10"/>
      <c r="V280" s="10"/>
      <c r="Y280" s="9">
        <f aca="true" t="shared" si="64" ref="Y280:AD280">Y279/2</f>
        <v>17377.5</v>
      </c>
      <c r="Z280" s="9">
        <f t="shared" si="64"/>
        <v>18026.5</v>
      </c>
      <c r="AA280" s="9">
        <f t="shared" si="64"/>
        <v>18594</v>
      </c>
      <c r="AB280" s="9">
        <f t="shared" si="64"/>
        <v>18889</v>
      </c>
      <c r="AC280" s="9">
        <f t="shared" si="64"/>
        <v>19298</v>
      </c>
      <c r="AD280" s="9">
        <f t="shared" si="64"/>
        <v>19929</v>
      </c>
      <c r="AN280" s="9"/>
    </row>
    <row r="281" spans="1:40" ht="12.75">
      <c r="A281" s="18"/>
      <c r="R281" s="10"/>
      <c r="S281" s="10"/>
      <c r="T281" s="10"/>
      <c r="U281" s="10"/>
      <c r="V281" s="10"/>
      <c r="Y281" s="30">
        <f aca="true" t="shared" si="65" ref="Y281:AD281">2+0.5*(Y280-Y275)/(Y276-Y275)</f>
        <v>2.080646766169154</v>
      </c>
      <c r="Z281" s="30">
        <f t="shared" si="65"/>
        <v>2.0675056137724552</v>
      </c>
      <c r="AA281" s="30">
        <f t="shared" si="65"/>
        <v>2.1142099487929773</v>
      </c>
      <c r="AB281" s="30">
        <f t="shared" si="65"/>
        <v>2.176949740034662</v>
      </c>
      <c r="AC281" s="30">
        <f t="shared" si="65"/>
        <v>2.299638989169675</v>
      </c>
      <c r="AD281" s="30">
        <f t="shared" si="65"/>
        <v>2.4475197109067017</v>
      </c>
      <c r="AN281" s="9"/>
    </row>
    <row r="282" spans="1:40" ht="12.75">
      <c r="A282" s="18" t="s">
        <v>225</v>
      </c>
      <c r="F282" s="9">
        <v>2427</v>
      </c>
      <c r="G282" s="9">
        <v>2814</v>
      </c>
      <c r="H282" s="9">
        <v>3100</v>
      </c>
      <c r="I282" s="9">
        <v>3021</v>
      </c>
      <c r="J282" s="9">
        <v>3128</v>
      </c>
      <c r="K282" s="9">
        <v>3119</v>
      </c>
      <c r="L282" s="9">
        <v>3501</v>
      </c>
      <c r="M282" s="9">
        <v>3867</v>
      </c>
      <c r="N282" s="9">
        <v>3931</v>
      </c>
      <c r="O282" s="9">
        <v>3987</v>
      </c>
      <c r="P282" s="9">
        <v>3988</v>
      </c>
      <c r="Q282" s="9">
        <v>3866</v>
      </c>
      <c r="R282" s="10">
        <v>3804</v>
      </c>
      <c r="S282" s="10">
        <v>4242</v>
      </c>
      <c r="T282" s="10">
        <v>4810</v>
      </c>
      <c r="U282" s="10">
        <v>5400</v>
      </c>
      <c r="V282" s="10">
        <v>6287</v>
      </c>
      <c r="AA282" s="49">
        <v>2.1</v>
      </c>
      <c r="AB282" s="49">
        <v>2.2</v>
      </c>
      <c r="AC282" s="49">
        <v>2.3</v>
      </c>
      <c r="AD282" s="49">
        <v>2.4</v>
      </c>
      <c r="AN282" s="9"/>
    </row>
    <row r="283" spans="1:40" ht="12.75">
      <c r="A283" s="18" t="s">
        <v>226</v>
      </c>
      <c r="F283" s="9">
        <v>5394</v>
      </c>
      <c r="G283" s="9">
        <v>6355</v>
      </c>
      <c r="H283" s="9">
        <v>7360</v>
      </c>
      <c r="I283" s="9">
        <v>7609</v>
      </c>
      <c r="J283" s="9">
        <v>7520</v>
      </c>
      <c r="K283" s="9">
        <v>7193</v>
      </c>
      <c r="L283" s="9">
        <v>9021</v>
      </c>
      <c r="M283" s="9">
        <v>10233</v>
      </c>
      <c r="N283" s="9">
        <v>11398</v>
      </c>
      <c r="O283" s="9">
        <v>10973</v>
      </c>
      <c r="P283" s="9">
        <v>11291</v>
      </c>
      <c r="Q283" s="9">
        <v>11428</v>
      </c>
      <c r="R283" s="10">
        <v>11954</v>
      </c>
      <c r="S283" s="10">
        <v>12601</v>
      </c>
      <c r="T283" s="10">
        <v>14392</v>
      </c>
      <c r="U283" s="10">
        <v>16801</v>
      </c>
      <c r="V283" s="10">
        <v>22317</v>
      </c>
      <c r="AN283" s="9"/>
    </row>
    <row r="285" spans="1:40" ht="12.75">
      <c r="A285" s="18" t="s">
        <v>248</v>
      </c>
      <c r="B285" s="9">
        <v>353</v>
      </c>
      <c r="C285" s="9">
        <v>101</v>
      </c>
      <c r="D285" s="9">
        <v>142</v>
      </c>
      <c r="E285" s="9">
        <v>156</v>
      </c>
      <c r="F285" s="9">
        <v>158</v>
      </c>
      <c r="G285" s="9">
        <v>195</v>
      </c>
      <c r="H285" s="9">
        <v>156</v>
      </c>
      <c r="I285" s="9">
        <v>261</v>
      </c>
      <c r="J285" s="9">
        <v>285</v>
      </c>
      <c r="K285" s="9">
        <v>207</v>
      </c>
      <c r="L285" s="9">
        <v>583</v>
      </c>
      <c r="M285" s="9">
        <v>372</v>
      </c>
      <c r="N285" s="9">
        <v>557</v>
      </c>
      <c r="O285" s="9">
        <v>595</v>
      </c>
      <c r="P285" s="9">
        <v>909</v>
      </c>
      <c r="Q285" s="9">
        <v>1221</v>
      </c>
      <c r="R285" s="10">
        <v>1207</v>
      </c>
      <c r="S285" s="10">
        <v>1191</v>
      </c>
      <c r="T285" s="10">
        <v>1555</v>
      </c>
      <c r="U285" s="10">
        <v>1307</v>
      </c>
      <c r="V285" s="10">
        <v>842</v>
      </c>
      <c r="AN285" s="9"/>
    </row>
    <row r="286" spans="1:40" ht="12.75">
      <c r="A286" s="18" t="s">
        <v>86</v>
      </c>
      <c r="B286" s="49"/>
      <c r="C286" s="49"/>
      <c r="D286" s="49">
        <v>2.1</v>
      </c>
      <c r="E286" s="49">
        <v>2.2</v>
      </c>
      <c r="F286" s="49">
        <v>2.3</v>
      </c>
      <c r="G286" s="49">
        <v>2.4</v>
      </c>
      <c r="H286" s="49">
        <v>2.5</v>
      </c>
      <c r="I286" s="49">
        <v>2.5</v>
      </c>
      <c r="J286" s="49">
        <v>2.5</v>
      </c>
      <c r="K286" s="49">
        <v>2.4</v>
      </c>
      <c r="L286" s="49">
        <v>2.2</v>
      </c>
      <c r="M286" s="49">
        <v>2.3</v>
      </c>
      <c r="N286" s="49">
        <v>2.3</v>
      </c>
      <c r="O286" s="49">
        <v>2.3</v>
      </c>
      <c r="P286" s="30">
        <v>2.3</v>
      </c>
      <c r="Q286" s="30">
        <v>2.3</v>
      </c>
      <c r="R286" s="32">
        <v>2.2</v>
      </c>
      <c r="S286" s="32">
        <v>2.3</v>
      </c>
      <c r="T286" s="32">
        <v>2.4</v>
      </c>
      <c r="U286" s="32">
        <v>2.7</v>
      </c>
      <c r="V286" s="32">
        <v>3.1</v>
      </c>
      <c r="AN286" s="9"/>
    </row>
    <row r="287" spans="19:22" ht="12.75">
      <c r="S287" s="10"/>
      <c r="T287" s="10"/>
      <c r="U287" s="10"/>
      <c r="V287" s="10"/>
    </row>
    <row r="288" spans="18:22" ht="12.75">
      <c r="R288" s="10"/>
      <c r="S288" s="10"/>
      <c r="T288" s="10"/>
      <c r="U288" s="10"/>
      <c r="V288" s="10"/>
    </row>
    <row r="289" spans="1:40" ht="12.75">
      <c r="A289" s="18" t="s">
        <v>97</v>
      </c>
      <c r="B289" s="52" t="s">
        <v>322</v>
      </c>
      <c r="R289" s="10"/>
      <c r="S289" s="10"/>
      <c r="T289" s="10"/>
      <c r="U289" s="10"/>
      <c r="V289" s="10"/>
      <c r="AN289" s="9"/>
    </row>
    <row r="290" spans="1:41" ht="12.75">
      <c r="A290" s="18" t="s">
        <v>98</v>
      </c>
      <c r="B290" s="9">
        <v>12607</v>
      </c>
      <c r="C290" s="9">
        <v>13195</v>
      </c>
      <c r="D290" s="9">
        <v>13829</v>
      </c>
      <c r="E290" s="9">
        <v>13845</v>
      </c>
      <c r="F290" s="9">
        <v>13865</v>
      </c>
      <c r="G290" s="9">
        <v>14465</v>
      </c>
      <c r="H290" s="9">
        <v>14891</v>
      </c>
      <c r="I290" s="9">
        <v>14867</v>
      </c>
      <c r="J290" s="9">
        <v>15376</v>
      </c>
      <c r="K290" s="9">
        <v>15777</v>
      </c>
      <c r="L290" s="9">
        <v>23950</v>
      </c>
      <c r="M290" s="9">
        <v>25097</v>
      </c>
      <c r="N290" s="9">
        <v>25429</v>
      </c>
      <c r="O290" s="9">
        <v>24454</v>
      </c>
      <c r="P290" s="9">
        <v>24068</v>
      </c>
      <c r="Q290" s="9">
        <v>24518</v>
      </c>
      <c r="R290" s="9">
        <v>25453</v>
      </c>
      <c r="S290" s="9">
        <v>25604</v>
      </c>
      <c r="T290" s="9">
        <v>25675</v>
      </c>
      <c r="U290" s="9">
        <v>25020</v>
      </c>
      <c r="V290" s="9">
        <v>24776</v>
      </c>
      <c r="AO290" s="9"/>
    </row>
    <row r="291" spans="1:41" ht="12.75">
      <c r="A291" s="18" t="s">
        <v>269</v>
      </c>
      <c r="B291" s="9">
        <v>21695</v>
      </c>
      <c r="C291" s="9">
        <v>22959</v>
      </c>
      <c r="D291" s="9">
        <v>23501</v>
      </c>
      <c r="E291" s="9">
        <v>24089</v>
      </c>
      <c r="F291" s="9">
        <v>24889</v>
      </c>
      <c r="G291" s="9">
        <v>25589</v>
      </c>
      <c r="H291" s="9">
        <v>26446</v>
      </c>
      <c r="I291" s="9">
        <v>27079</v>
      </c>
      <c r="J291" s="9">
        <v>27917</v>
      </c>
      <c r="K291" s="9">
        <v>27758</v>
      </c>
      <c r="L291" s="9">
        <v>32195</v>
      </c>
      <c r="M291" s="9">
        <v>33067</v>
      </c>
      <c r="N291" s="9">
        <v>34487</v>
      </c>
      <c r="O291" s="9">
        <v>35342</v>
      </c>
      <c r="P291" s="9">
        <v>37183</v>
      </c>
      <c r="Q291" s="9">
        <v>39026</v>
      </c>
      <c r="R291" s="67">
        <f>R39-R290</f>
        <v>40034</v>
      </c>
      <c r="S291" s="67">
        <f>S39-S290</f>
        <v>43192</v>
      </c>
      <c r="T291" s="9">
        <v>46590</v>
      </c>
      <c r="U291" s="9">
        <v>47218</v>
      </c>
      <c r="V291" s="9">
        <v>50154</v>
      </c>
      <c r="AO291" s="9"/>
    </row>
    <row r="292" spans="1:41" ht="12.75">
      <c r="A292" s="40" t="s">
        <v>148</v>
      </c>
      <c r="B292" s="52">
        <v>805</v>
      </c>
      <c r="C292" s="9">
        <v>0</v>
      </c>
      <c r="D292" s="9">
        <v>-1</v>
      </c>
      <c r="E292" s="9">
        <v>0</v>
      </c>
      <c r="F292" s="9">
        <v>0</v>
      </c>
      <c r="G292" s="9">
        <v>0</v>
      </c>
      <c r="H292" s="9">
        <v>-1</v>
      </c>
      <c r="I292" s="9">
        <v>-1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1</v>
      </c>
      <c r="Q292" s="9">
        <v>0</v>
      </c>
      <c r="R292" s="9">
        <v>40034</v>
      </c>
      <c r="S292" s="9">
        <v>43192</v>
      </c>
      <c r="T292" s="9">
        <v>0</v>
      </c>
      <c r="U292" s="9">
        <v>0</v>
      </c>
      <c r="V292" s="9">
        <v>1</v>
      </c>
      <c r="AO292" s="9"/>
    </row>
    <row r="293" spans="1:41" ht="12.75">
      <c r="A293" s="18" t="s">
        <v>270</v>
      </c>
      <c r="M293" s="14"/>
      <c r="N293" s="14"/>
      <c r="O293" s="14"/>
      <c r="P293" s="14"/>
      <c r="Q293" s="14" t="s">
        <v>242</v>
      </c>
      <c r="R293" s="9">
        <v>29</v>
      </c>
      <c r="S293" s="46" t="s">
        <v>310</v>
      </c>
      <c r="T293" s="9">
        <v>37</v>
      </c>
      <c r="U293" s="9">
        <v>47</v>
      </c>
      <c r="V293" s="9">
        <v>66</v>
      </c>
      <c r="AO293" s="9"/>
    </row>
    <row r="294" spans="1:41" ht="12.75">
      <c r="A294" s="18" t="s">
        <v>271</v>
      </c>
      <c r="R294" s="44"/>
      <c r="S294" s="44" t="s">
        <v>311</v>
      </c>
      <c r="T294" s="9">
        <v>44970</v>
      </c>
      <c r="U294" s="9">
        <v>45471</v>
      </c>
      <c r="V294" s="9">
        <v>48394</v>
      </c>
      <c r="AO294" s="9"/>
    </row>
    <row r="295" spans="1:41" ht="12.75">
      <c r="A295" s="18" t="s">
        <v>272</v>
      </c>
      <c r="R295" s="44" t="s">
        <v>312</v>
      </c>
      <c r="S295" s="44" t="s">
        <v>312</v>
      </c>
      <c r="T295" s="9">
        <v>41717</v>
      </c>
      <c r="U295" s="9">
        <v>42261</v>
      </c>
      <c r="V295" s="9">
        <v>44652</v>
      </c>
      <c r="AO295" s="9"/>
    </row>
    <row r="296" spans="1:41" ht="12.75">
      <c r="A296" s="18" t="s">
        <v>273</v>
      </c>
      <c r="R296" s="9">
        <v>1443</v>
      </c>
      <c r="S296" s="9">
        <v>1525</v>
      </c>
      <c r="T296" s="9">
        <v>1583</v>
      </c>
      <c r="U296" s="9">
        <v>1700</v>
      </c>
      <c r="V296" s="9">
        <v>1694</v>
      </c>
      <c r="AN296" s="9"/>
      <c r="AO296" s="9"/>
    </row>
    <row r="297" spans="18:22" ht="12.75">
      <c r="R297" s="10"/>
      <c r="S297" s="10"/>
      <c r="T297" s="10"/>
      <c r="U297" s="10"/>
      <c r="V297" s="10"/>
    </row>
    <row r="298" spans="1:22" ht="12.75">
      <c r="A298" s="18" t="s">
        <v>231</v>
      </c>
      <c r="B298" s="14" t="s">
        <v>242</v>
      </c>
      <c r="C298" s="14" t="s">
        <v>242</v>
      </c>
      <c r="D298" s="14" t="s">
        <v>242</v>
      </c>
      <c r="E298" s="14" t="s">
        <v>242</v>
      </c>
      <c r="F298" s="14" t="s">
        <v>242</v>
      </c>
      <c r="G298" s="14" t="s">
        <v>242</v>
      </c>
      <c r="H298" s="14" t="s">
        <v>242</v>
      </c>
      <c r="I298" s="14" t="s">
        <v>242</v>
      </c>
      <c r="J298" s="14" t="s">
        <v>242</v>
      </c>
      <c r="K298" s="14" t="s">
        <v>242</v>
      </c>
      <c r="L298" s="9">
        <v>56145</v>
      </c>
      <c r="M298" s="10">
        <v>58164</v>
      </c>
      <c r="N298" s="10">
        <v>59916</v>
      </c>
      <c r="O298" s="10">
        <v>59796</v>
      </c>
      <c r="P298" s="10">
        <v>61252</v>
      </c>
      <c r="Q298" s="10">
        <v>63544</v>
      </c>
      <c r="R298" s="10">
        <v>65487</v>
      </c>
      <c r="S298" s="10">
        <v>68796</v>
      </c>
      <c r="T298" s="10">
        <v>72265</v>
      </c>
      <c r="U298" s="10">
        <v>72238</v>
      </c>
      <c r="V298" s="10">
        <v>74931</v>
      </c>
    </row>
    <row r="299" spans="1:22" ht="12.75">
      <c r="A299" s="18" t="s">
        <v>227</v>
      </c>
      <c r="B299" s="14" t="s">
        <v>242</v>
      </c>
      <c r="C299" s="14" t="s">
        <v>242</v>
      </c>
      <c r="D299" s="14" t="s">
        <v>242</v>
      </c>
      <c r="E299" s="14" t="s">
        <v>242</v>
      </c>
      <c r="F299" s="14" t="s">
        <v>242</v>
      </c>
      <c r="G299" s="14" t="s">
        <v>242</v>
      </c>
      <c r="H299" s="14" t="s">
        <v>242</v>
      </c>
      <c r="I299" s="14" t="s">
        <v>242</v>
      </c>
      <c r="J299" s="14" t="s">
        <v>242</v>
      </c>
      <c r="K299" s="14" t="s">
        <v>242</v>
      </c>
      <c r="Q299" s="9">
        <v>8474</v>
      </c>
      <c r="R299" s="45"/>
      <c r="S299" s="44" t="s">
        <v>313</v>
      </c>
      <c r="T299" s="10">
        <v>6481</v>
      </c>
      <c r="U299" s="10">
        <v>7217</v>
      </c>
      <c r="V299" s="10">
        <v>10044</v>
      </c>
    </row>
    <row r="300" spans="1:22" ht="12.75">
      <c r="A300" s="18" t="s">
        <v>308</v>
      </c>
      <c r="B300" s="14" t="s">
        <v>242</v>
      </c>
      <c r="C300" s="14" t="s">
        <v>242</v>
      </c>
      <c r="D300" s="14" t="s">
        <v>242</v>
      </c>
      <c r="E300" s="14" t="s">
        <v>242</v>
      </c>
      <c r="F300" s="14" t="s">
        <v>242</v>
      </c>
      <c r="G300" s="14" t="s">
        <v>242</v>
      </c>
      <c r="H300" s="14" t="s">
        <v>242</v>
      </c>
      <c r="I300" s="14" t="s">
        <v>242</v>
      </c>
      <c r="J300" s="14" t="s">
        <v>242</v>
      </c>
      <c r="K300" s="14" t="s">
        <v>242</v>
      </c>
      <c r="Q300" s="9">
        <v>2857</v>
      </c>
      <c r="R300" s="44" t="s">
        <v>312</v>
      </c>
      <c r="S300" s="44" t="s">
        <v>312</v>
      </c>
      <c r="T300" s="10">
        <v>4297</v>
      </c>
      <c r="U300" s="10">
        <v>4725</v>
      </c>
      <c r="V300" s="10">
        <v>4605</v>
      </c>
    </row>
    <row r="301" spans="1:22" ht="12.75">
      <c r="A301" s="18"/>
      <c r="R301" s="10"/>
      <c r="S301" s="10"/>
      <c r="T301" s="10"/>
      <c r="U301" s="10"/>
      <c r="V301" s="10"/>
    </row>
    <row r="302" spans="1:22" ht="12.75">
      <c r="A302" s="18" t="s">
        <v>230</v>
      </c>
      <c r="B302" s="14" t="s">
        <v>242</v>
      </c>
      <c r="C302" s="14" t="s">
        <v>242</v>
      </c>
      <c r="D302" s="14" t="s">
        <v>242</v>
      </c>
      <c r="E302" s="14" t="s">
        <v>242</v>
      </c>
      <c r="F302" s="14" t="s">
        <v>242</v>
      </c>
      <c r="G302" s="14" t="s">
        <v>242</v>
      </c>
      <c r="H302" s="14" t="s">
        <v>242</v>
      </c>
      <c r="I302" s="14" t="s">
        <v>242</v>
      </c>
      <c r="J302" s="14" t="s">
        <v>242</v>
      </c>
      <c r="K302" s="14" t="s">
        <v>242</v>
      </c>
      <c r="L302" s="9">
        <v>28345</v>
      </c>
      <c r="M302" s="9">
        <v>28857</v>
      </c>
      <c r="N302" s="9">
        <v>29277</v>
      </c>
      <c r="O302" s="9">
        <v>29753</v>
      </c>
      <c r="P302" s="9">
        <v>32302</v>
      </c>
      <c r="Q302" s="9">
        <v>34730</v>
      </c>
      <c r="R302" s="45"/>
      <c r="S302" s="44" t="s">
        <v>314</v>
      </c>
      <c r="T302" s="10">
        <v>29873</v>
      </c>
      <c r="U302" s="10">
        <v>30607</v>
      </c>
      <c r="V302" s="10">
        <v>30039</v>
      </c>
    </row>
    <row r="303" spans="1:40" ht="12.75">
      <c r="A303" s="18" t="s">
        <v>229</v>
      </c>
      <c r="B303" s="14" t="s">
        <v>242</v>
      </c>
      <c r="C303" s="14" t="s">
        <v>242</v>
      </c>
      <c r="D303" s="14" t="s">
        <v>242</v>
      </c>
      <c r="E303" s="14" t="s">
        <v>242</v>
      </c>
      <c r="F303" s="14" t="s">
        <v>242</v>
      </c>
      <c r="G303" s="14" t="s">
        <v>242</v>
      </c>
      <c r="H303" s="14" t="s">
        <v>242</v>
      </c>
      <c r="I303" s="14" t="s">
        <v>242</v>
      </c>
      <c r="J303" s="14" t="s">
        <v>242</v>
      </c>
      <c r="K303" s="14" t="s">
        <v>242</v>
      </c>
      <c r="R303" s="14" t="s">
        <v>242</v>
      </c>
      <c r="S303" s="14" t="s">
        <v>242</v>
      </c>
      <c r="T303" s="10">
        <v>4136</v>
      </c>
      <c r="U303" s="10">
        <v>3946</v>
      </c>
      <c r="V303" s="10">
        <v>3759</v>
      </c>
      <c r="AN303" s="9"/>
    </row>
    <row r="304" spans="1:22" ht="12.75">
      <c r="A304" s="18" t="s">
        <v>99</v>
      </c>
      <c r="B304" s="14" t="s">
        <v>242</v>
      </c>
      <c r="C304" s="14" t="s">
        <v>242</v>
      </c>
      <c r="D304" s="14" t="s">
        <v>242</v>
      </c>
      <c r="E304" s="14" t="s">
        <v>242</v>
      </c>
      <c r="F304" s="14" t="s">
        <v>242</v>
      </c>
      <c r="G304" s="14" t="s">
        <v>242</v>
      </c>
      <c r="H304" s="14" t="s">
        <v>242</v>
      </c>
      <c r="I304" s="14" t="s">
        <v>242</v>
      </c>
      <c r="J304" s="14" t="s">
        <v>242</v>
      </c>
      <c r="K304" s="14" t="s">
        <v>242</v>
      </c>
      <c r="R304" s="14" t="s">
        <v>242</v>
      </c>
      <c r="S304" s="14" t="s">
        <v>242</v>
      </c>
      <c r="T304" s="10">
        <v>924</v>
      </c>
      <c r="U304" s="10">
        <v>872</v>
      </c>
      <c r="V304" s="10">
        <v>846</v>
      </c>
    </row>
    <row r="305" spans="1:22" ht="12.75">
      <c r="A305" s="18"/>
      <c r="R305" s="10"/>
      <c r="S305" s="10"/>
      <c r="T305" s="10"/>
      <c r="U305" s="10"/>
      <c r="V305" s="10"/>
    </row>
    <row r="306" spans="1:22" ht="12.75">
      <c r="A306" s="18" t="s">
        <v>228</v>
      </c>
      <c r="B306" s="14" t="s">
        <v>242</v>
      </c>
      <c r="C306" s="14" t="s">
        <v>242</v>
      </c>
      <c r="D306" s="14" t="s">
        <v>242</v>
      </c>
      <c r="E306" s="14" t="s">
        <v>242</v>
      </c>
      <c r="F306" s="14" t="s">
        <v>242</v>
      </c>
      <c r="G306" s="14" t="s">
        <v>242</v>
      </c>
      <c r="H306" s="14" t="s">
        <v>242</v>
      </c>
      <c r="I306" s="14" t="s">
        <v>242</v>
      </c>
      <c r="J306" s="14" t="s">
        <v>242</v>
      </c>
      <c r="K306" s="14" t="s">
        <v>242</v>
      </c>
      <c r="R306" s="69">
        <v>35855</v>
      </c>
      <c r="S306" s="68">
        <v>38883</v>
      </c>
      <c r="T306" s="69">
        <v>43378</v>
      </c>
      <c r="U306" s="69">
        <v>43678</v>
      </c>
      <c r="V306" s="69">
        <v>46079</v>
      </c>
    </row>
    <row r="308" spans="1:22" ht="12.75">
      <c r="A308" s="18" t="s">
        <v>113</v>
      </c>
      <c r="R308" s="10"/>
      <c r="S308" s="10"/>
      <c r="T308" s="10"/>
      <c r="U308" s="10"/>
      <c r="V308" s="10"/>
    </row>
    <row r="309" spans="1:40" ht="12.75">
      <c r="A309" s="18" t="s">
        <v>111</v>
      </c>
      <c r="B309" s="14" t="s">
        <v>242</v>
      </c>
      <c r="C309" s="14" t="s">
        <v>242</v>
      </c>
      <c r="D309" s="14" t="s">
        <v>242</v>
      </c>
      <c r="E309" s="14" t="s">
        <v>242</v>
      </c>
      <c r="F309" s="14" t="s">
        <v>242</v>
      </c>
      <c r="G309" s="14" t="s">
        <v>242</v>
      </c>
      <c r="H309" s="14" t="s">
        <v>242</v>
      </c>
      <c r="I309" s="14" t="s">
        <v>242</v>
      </c>
      <c r="J309" s="14" t="s">
        <v>242</v>
      </c>
      <c r="K309" s="14" t="s">
        <v>242</v>
      </c>
      <c r="L309" s="9">
        <v>23827</v>
      </c>
      <c r="M309" s="9">
        <v>22337</v>
      </c>
      <c r="N309" s="9">
        <v>23145</v>
      </c>
      <c r="O309" s="9">
        <v>23293</v>
      </c>
      <c r="P309" s="9">
        <v>21311</v>
      </c>
      <c r="Q309" s="9">
        <v>24393</v>
      </c>
      <c r="R309" s="9">
        <v>31549</v>
      </c>
      <c r="S309" s="9">
        <v>27439</v>
      </c>
      <c r="T309" s="9">
        <v>30230</v>
      </c>
      <c r="U309" s="9">
        <v>26276</v>
      </c>
      <c r="V309" s="9">
        <v>27592</v>
      </c>
      <c r="AN309" s="9"/>
    </row>
    <row r="310" spans="1:22" ht="12.75">
      <c r="A310" s="18" t="s">
        <v>112</v>
      </c>
      <c r="B310" s="14" t="s">
        <v>242</v>
      </c>
      <c r="C310" s="14" t="s">
        <v>242</v>
      </c>
      <c r="D310" s="14" t="s">
        <v>242</v>
      </c>
      <c r="E310" s="14" t="s">
        <v>242</v>
      </c>
      <c r="F310" s="14" t="s">
        <v>242</v>
      </c>
      <c r="G310" s="14" t="s">
        <v>242</v>
      </c>
      <c r="H310" s="14" t="s">
        <v>242</v>
      </c>
      <c r="I310" s="14" t="s">
        <v>242</v>
      </c>
      <c r="J310" s="14" t="s">
        <v>242</v>
      </c>
      <c r="K310" s="14" t="s">
        <v>242</v>
      </c>
      <c r="L310" s="9">
        <v>2504</v>
      </c>
      <c r="M310" s="9">
        <v>4792</v>
      </c>
      <c r="N310" s="9">
        <v>4670</v>
      </c>
      <c r="O310" s="9">
        <v>5204</v>
      </c>
      <c r="P310" s="9">
        <v>9814</v>
      </c>
      <c r="Q310" s="9">
        <v>9848</v>
      </c>
      <c r="R310" s="9">
        <v>3217</v>
      </c>
      <c r="S310" s="9">
        <v>10760</v>
      </c>
      <c r="T310" s="9">
        <v>12569</v>
      </c>
      <c r="U310" s="9">
        <v>17040</v>
      </c>
      <c r="V310" s="9">
        <v>18206</v>
      </c>
    </row>
    <row r="311" spans="1:22" ht="12.75">
      <c r="A311" s="18" t="s">
        <v>316</v>
      </c>
      <c r="B311" s="14" t="s">
        <v>242</v>
      </c>
      <c r="C311" s="14" t="s">
        <v>242</v>
      </c>
      <c r="D311" s="14" t="s">
        <v>242</v>
      </c>
      <c r="E311" s="14" t="s">
        <v>242</v>
      </c>
      <c r="F311" s="14" t="s">
        <v>242</v>
      </c>
      <c r="G311" s="14" t="s">
        <v>242</v>
      </c>
      <c r="H311" s="14" t="s">
        <v>242</v>
      </c>
      <c r="I311" s="14" t="s">
        <v>242</v>
      </c>
      <c r="J311" s="14" t="s">
        <v>242</v>
      </c>
      <c r="K311" s="14" t="s">
        <v>242</v>
      </c>
      <c r="L311" s="14" t="s">
        <v>242</v>
      </c>
      <c r="M311" s="9">
        <v>89</v>
      </c>
      <c r="N311" s="9">
        <v>74</v>
      </c>
      <c r="O311" s="9">
        <v>121</v>
      </c>
      <c r="P311" s="9">
        <v>163</v>
      </c>
      <c r="Q311" s="14" t="s">
        <v>242</v>
      </c>
      <c r="R311" s="14" t="s">
        <v>242</v>
      </c>
      <c r="S311" s="14" t="s">
        <v>242</v>
      </c>
      <c r="T311" s="14" t="s">
        <v>242</v>
      </c>
      <c r="U311" s="14" t="s">
        <v>242</v>
      </c>
      <c r="V311" s="14" t="s">
        <v>242</v>
      </c>
    </row>
    <row r="312" spans="1:22" ht="12.75">
      <c r="A312" s="18" t="s">
        <v>232</v>
      </c>
      <c r="B312" s="14" t="s">
        <v>242</v>
      </c>
      <c r="C312" s="14" t="s">
        <v>242</v>
      </c>
      <c r="D312" s="14" t="s">
        <v>242</v>
      </c>
      <c r="E312" s="14" t="s">
        <v>242</v>
      </c>
      <c r="F312" s="14" t="s">
        <v>242</v>
      </c>
      <c r="G312" s="14" t="s">
        <v>242</v>
      </c>
      <c r="H312" s="14" t="s">
        <v>242</v>
      </c>
      <c r="I312" s="14" t="s">
        <v>242</v>
      </c>
      <c r="J312" s="14" t="s">
        <v>242</v>
      </c>
      <c r="K312" s="14" t="s">
        <v>242</v>
      </c>
      <c r="L312" s="9">
        <v>5865</v>
      </c>
      <c r="M312" s="9">
        <v>5849</v>
      </c>
      <c r="N312" s="9">
        <v>6599</v>
      </c>
      <c r="O312" s="9">
        <v>6723</v>
      </c>
      <c r="P312" s="9">
        <v>5896</v>
      </c>
      <c r="Q312" s="9">
        <v>4784</v>
      </c>
      <c r="R312" s="9">
        <v>1089</v>
      </c>
      <c r="S312" s="9">
        <v>685</v>
      </c>
      <c r="T312" s="9">
        <v>580</v>
      </c>
      <c r="U312" s="9">
        <v>362</v>
      </c>
      <c r="V312" s="9">
        <v>282</v>
      </c>
    </row>
    <row r="313" spans="12:22" ht="12.75">
      <c r="L313" s="9">
        <f aca="true" t="shared" si="66" ref="L313:Q313">L291-SUM(L309:L312)</f>
        <v>-1</v>
      </c>
      <c r="M313" s="9">
        <f t="shared" si="66"/>
        <v>0</v>
      </c>
      <c r="N313" s="9">
        <f t="shared" si="66"/>
        <v>-1</v>
      </c>
      <c r="O313" s="9">
        <f t="shared" si="66"/>
        <v>1</v>
      </c>
      <c r="P313" s="9">
        <f t="shared" si="66"/>
        <v>-1</v>
      </c>
      <c r="Q313" s="9">
        <f t="shared" si="66"/>
        <v>1</v>
      </c>
      <c r="R313" s="68">
        <f>R306-SUM(R309:R312)</f>
        <v>0</v>
      </c>
      <c r="S313" s="68">
        <f>S306-SUM(S309:S312)</f>
        <v>-1</v>
      </c>
      <c r="T313" s="68">
        <f>T306-SUM(T309:T312)</f>
        <v>-1</v>
      </c>
      <c r="U313" s="68">
        <f>U306-SUM(U309:U312)</f>
        <v>0</v>
      </c>
      <c r="V313" s="68">
        <f>V306-SUM(V309:V312)</f>
        <v>-1</v>
      </c>
    </row>
    <row r="314" spans="1:22" ht="12.75">
      <c r="A314" s="18" t="s">
        <v>105</v>
      </c>
      <c r="R314" s="10"/>
      <c r="S314" s="10"/>
      <c r="T314" s="10"/>
      <c r="U314" s="10"/>
      <c r="V314" s="10"/>
    </row>
    <row r="315" spans="1:22" ht="12.75">
      <c r="A315" s="18" t="s">
        <v>100</v>
      </c>
      <c r="B315" s="14" t="s">
        <v>242</v>
      </c>
      <c r="C315" s="14" t="s">
        <v>242</v>
      </c>
      <c r="D315" s="14" t="s">
        <v>242</v>
      </c>
      <c r="E315" s="14" t="s">
        <v>242</v>
      </c>
      <c r="F315" s="14" t="s">
        <v>242</v>
      </c>
      <c r="G315" s="14" t="s">
        <v>242</v>
      </c>
      <c r="H315" s="14" t="s">
        <v>242</v>
      </c>
      <c r="I315" s="14" t="s">
        <v>242</v>
      </c>
      <c r="J315" s="14" t="s">
        <v>242</v>
      </c>
      <c r="K315" s="14" t="s">
        <v>242</v>
      </c>
      <c r="L315" s="9">
        <v>25383</v>
      </c>
      <c r="M315" s="9">
        <v>25599</v>
      </c>
      <c r="N315" s="9">
        <v>25604</v>
      </c>
      <c r="O315" s="9">
        <v>27008</v>
      </c>
      <c r="P315" s="9">
        <v>28147</v>
      </c>
      <c r="Q315" s="9">
        <v>30002</v>
      </c>
      <c r="R315" s="9">
        <v>27590</v>
      </c>
      <c r="S315" s="9">
        <v>31472</v>
      </c>
      <c r="T315" s="9">
        <v>35689</v>
      </c>
      <c r="U315" s="9">
        <v>36221</v>
      </c>
      <c r="V315" s="9">
        <v>37392</v>
      </c>
    </row>
    <row r="316" spans="1:22" ht="12.75">
      <c r="A316" s="18" t="s">
        <v>101</v>
      </c>
      <c r="B316" s="14" t="s">
        <v>242</v>
      </c>
      <c r="C316" s="14" t="s">
        <v>242</v>
      </c>
      <c r="D316" s="14" t="s">
        <v>242</v>
      </c>
      <c r="E316" s="14" t="s">
        <v>242</v>
      </c>
      <c r="F316" s="14" t="s">
        <v>242</v>
      </c>
      <c r="G316" s="14" t="s">
        <v>242</v>
      </c>
      <c r="H316" s="14" t="s">
        <v>242</v>
      </c>
      <c r="I316" s="14" t="s">
        <v>242</v>
      </c>
      <c r="J316" s="14" t="s">
        <v>242</v>
      </c>
      <c r="K316" s="14" t="s">
        <v>242</v>
      </c>
      <c r="L316" s="9">
        <v>2191</v>
      </c>
      <c r="M316" s="9">
        <v>2791</v>
      </c>
      <c r="N316" s="9">
        <v>3617</v>
      </c>
      <c r="O316" s="9">
        <v>3103</v>
      </c>
      <c r="P316" s="9">
        <v>3670</v>
      </c>
      <c r="Q316" s="9">
        <v>4473</v>
      </c>
      <c r="R316" s="9">
        <v>2955</v>
      </c>
      <c r="S316" s="9">
        <v>2057</v>
      </c>
      <c r="T316" s="9">
        <v>1964</v>
      </c>
      <c r="U316" s="9">
        <v>1695</v>
      </c>
      <c r="V316" s="9">
        <v>2441</v>
      </c>
    </row>
    <row r="317" spans="1:22" ht="12.75">
      <c r="A317" s="18" t="s">
        <v>102</v>
      </c>
      <c r="B317" s="14" t="s">
        <v>242</v>
      </c>
      <c r="C317" s="14" t="s">
        <v>242</v>
      </c>
      <c r="D317" s="14" t="s">
        <v>242</v>
      </c>
      <c r="E317" s="14" t="s">
        <v>242</v>
      </c>
      <c r="F317" s="14" t="s">
        <v>242</v>
      </c>
      <c r="G317" s="14" t="s">
        <v>242</v>
      </c>
      <c r="H317" s="14" t="s">
        <v>242</v>
      </c>
      <c r="I317" s="14" t="s">
        <v>242</v>
      </c>
      <c r="J317" s="14" t="s">
        <v>242</v>
      </c>
      <c r="K317" s="14" t="s">
        <v>242</v>
      </c>
      <c r="L317" s="9">
        <v>56</v>
      </c>
      <c r="M317" s="9">
        <v>38</v>
      </c>
      <c r="N317" s="9">
        <v>79</v>
      </c>
      <c r="O317" s="9">
        <v>69</v>
      </c>
      <c r="P317" s="9">
        <v>79</v>
      </c>
      <c r="Q317" s="9">
        <v>0</v>
      </c>
      <c r="R317" s="9">
        <v>256</v>
      </c>
      <c r="S317" s="9">
        <v>277</v>
      </c>
      <c r="T317" s="9">
        <v>504</v>
      </c>
      <c r="U317" s="9">
        <v>113</v>
      </c>
      <c r="V317" s="9">
        <v>160</v>
      </c>
    </row>
    <row r="318" spans="1:22" ht="12.75">
      <c r="A318" s="18" t="s">
        <v>103</v>
      </c>
      <c r="B318" s="14" t="s">
        <v>242</v>
      </c>
      <c r="C318" s="14" t="s">
        <v>242</v>
      </c>
      <c r="D318" s="14" t="s">
        <v>242</v>
      </c>
      <c r="E318" s="14" t="s">
        <v>242</v>
      </c>
      <c r="F318" s="14" t="s">
        <v>242</v>
      </c>
      <c r="G318" s="14" t="s">
        <v>242</v>
      </c>
      <c r="H318" s="14" t="s">
        <v>242</v>
      </c>
      <c r="I318" s="14" t="s">
        <v>242</v>
      </c>
      <c r="J318" s="14" t="s">
        <v>242</v>
      </c>
      <c r="K318" s="14" t="s">
        <v>242</v>
      </c>
      <c r="L318" s="9">
        <v>585</v>
      </c>
      <c r="M318" s="9">
        <v>362</v>
      </c>
      <c r="N318" s="9">
        <v>462</v>
      </c>
      <c r="O318" s="9">
        <v>434</v>
      </c>
      <c r="P318" s="9">
        <v>332</v>
      </c>
      <c r="Q318" s="9">
        <v>370</v>
      </c>
      <c r="R318" s="9">
        <v>376</v>
      </c>
      <c r="S318" s="9">
        <v>363</v>
      </c>
      <c r="T318" s="9">
        <v>382</v>
      </c>
      <c r="U318" s="9">
        <v>286</v>
      </c>
      <c r="V318" s="9">
        <v>517</v>
      </c>
    </row>
    <row r="319" spans="1:22" ht="12.75">
      <c r="A319" s="18" t="s">
        <v>104</v>
      </c>
      <c r="B319" s="14" t="s">
        <v>242</v>
      </c>
      <c r="C319" s="14" t="s">
        <v>242</v>
      </c>
      <c r="D319" s="14" t="s">
        <v>242</v>
      </c>
      <c r="E319" s="14" t="s">
        <v>242</v>
      </c>
      <c r="F319" s="14" t="s">
        <v>242</v>
      </c>
      <c r="G319" s="14" t="s">
        <v>242</v>
      </c>
      <c r="H319" s="14" t="s">
        <v>242</v>
      </c>
      <c r="I319" s="14" t="s">
        <v>242</v>
      </c>
      <c r="J319" s="14" t="s">
        <v>242</v>
      </c>
      <c r="K319" s="14" t="s">
        <v>242</v>
      </c>
      <c r="L319" s="9">
        <v>303</v>
      </c>
      <c r="M319" s="9">
        <v>228</v>
      </c>
      <c r="N319" s="9">
        <v>228</v>
      </c>
      <c r="O319" s="9">
        <v>273</v>
      </c>
      <c r="P319" s="9">
        <v>305</v>
      </c>
      <c r="Q319" s="9">
        <v>586</v>
      </c>
      <c r="R319" s="9">
        <v>328</v>
      </c>
      <c r="S319" s="9">
        <v>302</v>
      </c>
      <c r="T319" s="9">
        <v>357</v>
      </c>
      <c r="U319" s="9">
        <v>410</v>
      </c>
      <c r="V319" s="9">
        <v>518</v>
      </c>
    </row>
    <row r="320" spans="1:22" ht="12.75">
      <c r="A320" s="18" t="s">
        <v>52</v>
      </c>
      <c r="B320" s="14" t="s">
        <v>242</v>
      </c>
      <c r="C320" s="14" t="s">
        <v>242</v>
      </c>
      <c r="D320" s="14" t="s">
        <v>242</v>
      </c>
      <c r="E320" s="14" t="s">
        <v>242</v>
      </c>
      <c r="F320" s="14" t="s">
        <v>242</v>
      </c>
      <c r="G320" s="14" t="s">
        <v>242</v>
      </c>
      <c r="H320" s="14" t="s">
        <v>242</v>
      </c>
      <c r="I320" s="14" t="s">
        <v>242</v>
      </c>
      <c r="J320" s="14" t="s">
        <v>242</v>
      </c>
      <c r="K320" s="14" t="s">
        <v>242</v>
      </c>
      <c r="L320" s="9">
        <v>525</v>
      </c>
      <c r="M320" s="9">
        <v>626</v>
      </c>
      <c r="N320" s="9">
        <v>695</v>
      </c>
      <c r="O320" s="9">
        <v>738</v>
      </c>
      <c r="P320" s="9">
        <v>834</v>
      </c>
      <c r="Q320" s="9">
        <v>903</v>
      </c>
      <c r="R320" s="9">
        <v>377</v>
      </c>
      <c r="S320" s="9">
        <v>276</v>
      </c>
      <c r="T320" s="9">
        <v>328</v>
      </c>
      <c r="U320" s="9">
        <v>313</v>
      </c>
      <c r="V320" s="9">
        <v>498</v>
      </c>
    </row>
    <row r="321" spans="1:22" ht="12.75">
      <c r="A321" s="18" t="s">
        <v>99</v>
      </c>
      <c r="B321" s="14" t="s">
        <v>242</v>
      </c>
      <c r="C321" s="14" t="s">
        <v>242</v>
      </c>
      <c r="D321" s="14" t="s">
        <v>242</v>
      </c>
      <c r="E321" s="14" t="s">
        <v>242</v>
      </c>
      <c r="F321" s="14" t="s">
        <v>242</v>
      </c>
      <c r="G321" s="14" t="s">
        <v>242</v>
      </c>
      <c r="H321" s="14" t="s">
        <v>242</v>
      </c>
      <c r="I321" s="14" t="s">
        <v>242</v>
      </c>
      <c r="J321" s="14" t="s">
        <v>242</v>
      </c>
      <c r="K321" s="14" t="s">
        <v>242</v>
      </c>
      <c r="L321" s="9">
        <v>3152</v>
      </c>
      <c r="M321" s="9">
        <v>3423</v>
      </c>
      <c r="N321" s="9">
        <v>3801</v>
      </c>
      <c r="O321" s="9">
        <v>3716</v>
      </c>
      <c r="P321" s="9">
        <v>3816</v>
      </c>
      <c r="Q321" s="9">
        <v>2691</v>
      </c>
      <c r="R321" s="9">
        <v>3972</v>
      </c>
      <c r="S321" s="9">
        <v>4138</v>
      </c>
      <c r="T321" s="9">
        <v>4155</v>
      </c>
      <c r="U321" s="9">
        <v>4641</v>
      </c>
      <c r="V321" s="9">
        <v>4553</v>
      </c>
    </row>
    <row r="322" spans="12:22" ht="12.75">
      <c r="L322" s="9">
        <f aca="true" t="shared" si="67" ref="L322:Q322">L291-SUM(L315:L321)</f>
        <v>0</v>
      </c>
      <c r="M322" s="9">
        <f t="shared" si="67"/>
        <v>0</v>
      </c>
      <c r="N322" s="9">
        <f t="shared" si="67"/>
        <v>1</v>
      </c>
      <c r="O322" s="9">
        <f t="shared" si="67"/>
        <v>1</v>
      </c>
      <c r="P322" s="9">
        <f t="shared" si="67"/>
        <v>0</v>
      </c>
      <c r="Q322" s="9">
        <f t="shared" si="67"/>
        <v>1</v>
      </c>
      <c r="R322" s="68">
        <f>R306-SUM(R315:R321)</f>
        <v>1</v>
      </c>
      <c r="S322" s="68">
        <f>S306-SUM(S315:S321)</f>
        <v>-2</v>
      </c>
      <c r="T322" s="68">
        <f>T306-SUM(T315:T321)</f>
        <v>-1</v>
      </c>
      <c r="U322" s="68">
        <f>U306-SUM(U315:U321)</f>
        <v>-1</v>
      </c>
      <c r="V322" s="68">
        <f>V306-SUM(V315:V321)</f>
        <v>0</v>
      </c>
    </row>
    <row r="323" spans="1:22" ht="12.75">
      <c r="A323" s="18" t="s">
        <v>106</v>
      </c>
      <c r="R323" s="10"/>
      <c r="S323" s="10"/>
      <c r="T323" s="10"/>
      <c r="U323" s="10"/>
      <c r="V323" s="10"/>
    </row>
    <row r="324" spans="1:22" ht="12.75">
      <c r="A324" s="18" t="s">
        <v>107</v>
      </c>
      <c r="B324" s="14" t="s">
        <v>242</v>
      </c>
      <c r="C324" s="14" t="s">
        <v>242</v>
      </c>
      <c r="D324" s="14" t="s">
        <v>242</v>
      </c>
      <c r="E324" s="14" t="s">
        <v>242</v>
      </c>
      <c r="F324" s="14" t="s">
        <v>242</v>
      </c>
      <c r="G324" s="14" t="s">
        <v>242</v>
      </c>
      <c r="H324" s="14" t="s">
        <v>242</v>
      </c>
      <c r="I324" s="14" t="s">
        <v>242</v>
      </c>
      <c r="J324" s="14" t="s">
        <v>242</v>
      </c>
      <c r="K324" s="14" t="s">
        <v>242</v>
      </c>
      <c r="L324" s="9">
        <v>4586</v>
      </c>
      <c r="M324" s="9">
        <v>5098</v>
      </c>
      <c r="N324" s="9">
        <v>5277</v>
      </c>
      <c r="O324" s="9">
        <v>5282</v>
      </c>
      <c r="P324" s="9">
        <v>5367</v>
      </c>
      <c r="Q324" s="9">
        <v>5172</v>
      </c>
      <c r="R324" s="9">
        <v>5065</v>
      </c>
      <c r="S324" s="9">
        <v>5410</v>
      </c>
      <c r="T324" s="9">
        <v>6110</v>
      </c>
      <c r="U324" s="9">
        <v>5341</v>
      </c>
      <c r="V324" s="9">
        <v>4689</v>
      </c>
    </row>
    <row r="325" spans="1:22" ht="12.75">
      <c r="A325" s="18" t="s">
        <v>108</v>
      </c>
      <c r="B325" s="14" t="s">
        <v>242</v>
      </c>
      <c r="C325" s="14" t="s">
        <v>242</v>
      </c>
      <c r="D325" s="14" t="s">
        <v>242</v>
      </c>
      <c r="E325" s="14" t="s">
        <v>242</v>
      </c>
      <c r="F325" s="14" t="s">
        <v>242</v>
      </c>
      <c r="G325" s="14" t="s">
        <v>242</v>
      </c>
      <c r="H325" s="14" t="s">
        <v>242</v>
      </c>
      <c r="I325" s="14" t="s">
        <v>242</v>
      </c>
      <c r="J325" s="14" t="s">
        <v>242</v>
      </c>
      <c r="K325" s="14" t="s">
        <v>242</v>
      </c>
      <c r="L325" s="9">
        <v>3187</v>
      </c>
      <c r="M325" s="9">
        <v>2926</v>
      </c>
      <c r="N325" s="9">
        <v>2660</v>
      </c>
      <c r="O325" s="9">
        <v>2576</v>
      </c>
      <c r="P325" s="9">
        <v>2545</v>
      </c>
      <c r="Q325" s="9">
        <v>2356</v>
      </c>
      <c r="R325" s="9">
        <v>1936</v>
      </c>
      <c r="S325" s="9">
        <v>1893</v>
      </c>
      <c r="T325" s="9">
        <v>2177</v>
      </c>
      <c r="U325" s="9">
        <v>1981</v>
      </c>
      <c r="V325" s="9">
        <v>1809</v>
      </c>
    </row>
    <row r="326" spans="1:22" ht="12.75">
      <c r="A326" s="18" t="s">
        <v>109</v>
      </c>
      <c r="B326" s="14" t="s">
        <v>242</v>
      </c>
      <c r="C326" s="14" t="s">
        <v>242</v>
      </c>
      <c r="D326" s="14" t="s">
        <v>242</v>
      </c>
      <c r="E326" s="14" t="s">
        <v>242</v>
      </c>
      <c r="F326" s="14" t="s">
        <v>242</v>
      </c>
      <c r="G326" s="14" t="s">
        <v>242</v>
      </c>
      <c r="H326" s="14" t="s">
        <v>242</v>
      </c>
      <c r="I326" s="14" t="s">
        <v>242</v>
      </c>
      <c r="J326" s="14" t="s">
        <v>242</v>
      </c>
      <c r="K326" s="14" t="s">
        <v>242</v>
      </c>
      <c r="L326" s="9">
        <v>599</v>
      </c>
      <c r="M326" s="9">
        <v>467</v>
      </c>
      <c r="N326" s="9">
        <v>447</v>
      </c>
      <c r="O326" s="9">
        <v>447</v>
      </c>
      <c r="P326" s="9">
        <v>451</v>
      </c>
      <c r="Q326" s="9">
        <v>381</v>
      </c>
      <c r="R326" s="9">
        <v>364</v>
      </c>
      <c r="S326" s="9">
        <v>330</v>
      </c>
      <c r="T326" s="9">
        <v>318</v>
      </c>
      <c r="U326" s="9">
        <v>398</v>
      </c>
      <c r="V326" s="9">
        <v>364</v>
      </c>
    </row>
    <row r="327" spans="1:41" ht="12.75">
      <c r="A327" s="19" t="s">
        <v>142</v>
      </c>
      <c r="B327" s="14" t="s">
        <v>242</v>
      </c>
      <c r="C327" s="9">
        <v>6891</v>
      </c>
      <c r="D327" s="9">
        <v>7833</v>
      </c>
      <c r="E327" s="9">
        <v>7857</v>
      </c>
      <c r="F327" s="9">
        <v>7861</v>
      </c>
      <c r="G327" s="14" t="s">
        <v>242</v>
      </c>
      <c r="H327" s="14" t="s">
        <v>242</v>
      </c>
      <c r="I327" s="9">
        <v>7999</v>
      </c>
      <c r="J327" s="9">
        <v>7848</v>
      </c>
      <c r="K327" s="9">
        <v>8213</v>
      </c>
      <c r="L327" s="9">
        <v>8372</v>
      </c>
      <c r="M327" s="9">
        <v>8491</v>
      </c>
      <c r="N327" s="9">
        <v>8384</v>
      </c>
      <c r="O327" s="9">
        <v>8305</v>
      </c>
      <c r="P327" s="9">
        <v>8363</v>
      </c>
      <c r="Q327" s="9">
        <v>7909</v>
      </c>
      <c r="R327" s="9">
        <v>7365</v>
      </c>
      <c r="S327" s="9">
        <v>7633</v>
      </c>
      <c r="T327" s="9">
        <v>8605</v>
      </c>
      <c r="U327" s="9">
        <v>7720</v>
      </c>
      <c r="V327" s="9">
        <v>6862</v>
      </c>
      <c r="AO327" s="9"/>
    </row>
    <row r="328" spans="1:41" ht="12.75">
      <c r="A328" s="18" t="s">
        <v>250</v>
      </c>
      <c r="B328" s="14" t="s">
        <v>242</v>
      </c>
      <c r="C328" s="9">
        <v>15264</v>
      </c>
      <c r="D328" s="9">
        <v>11464</v>
      </c>
      <c r="E328" s="9">
        <v>12087</v>
      </c>
      <c r="F328" s="9">
        <v>16260</v>
      </c>
      <c r="G328" s="14" t="s">
        <v>242</v>
      </c>
      <c r="H328" s="14" t="s">
        <v>242</v>
      </c>
      <c r="I328" s="52">
        <v>19080</v>
      </c>
      <c r="J328" s="52">
        <v>20069</v>
      </c>
      <c r="K328" s="52">
        <v>19545</v>
      </c>
      <c r="L328" s="9">
        <v>22570</v>
      </c>
      <c r="M328" s="9">
        <v>22828</v>
      </c>
      <c r="N328" s="9">
        <v>24000</v>
      </c>
      <c r="O328" s="9">
        <v>25180</v>
      </c>
      <c r="P328" s="9">
        <v>26793</v>
      </c>
      <c r="Q328" s="9">
        <v>27906</v>
      </c>
      <c r="R328" s="9">
        <v>25579</v>
      </c>
      <c r="S328" s="9">
        <v>28204</v>
      </c>
      <c r="T328" s="9">
        <v>31796</v>
      </c>
      <c r="U328" s="9">
        <v>32527</v>
      </c>
      <c r="V328" s="9">
        <v>35908</v>
      </c>
      <c r="AO328" s="9"/>
    </row>
    <row r="329" spans="1:41" ht="12.75">
      <c r="A329" s="18" t="s">
        <v>110</v>
      </c>
      <c r="B329" s="14" t="s">
        <v>242</v>
      </c>
      <c r="C329" s="9">
        <v>804</v>
      </c>
      <c r="D329" s="9">
        <v>4203</v>
      </c>
      <c r="E329" s="9">
        <v>4145</v>
      </c>
      <c r="F329" s="9">
        <v>768</v>
      </c>
      <c r="G329" s="14" t="s">
        <v>242</v>
      </c>
      <c r="H329" s="14" t="s">
        <v>242</v>
      </c>
      <c r="I329" s="52" t="s">
        <v>323</v>
      </c>
      <c r="J329" s="52" t="s">
        <v>323</v>
      </c>
      <c r="K329" s="52" t="s">
        <v>323</v>
      </c>
      <c r="L329" s="9">
        <v>1253</v>
      </c>
      <c r="M329" s="9">
        <v>1747</v>
      </c>
      <c r="N329" s="9">
        <v>2103</v>
      </c>
      <c r="O329" s="9">
        <v>1857</v>
      </c>
      <c r="P329" s="9">
        <v>2027</v>
      </c>
      <c r="Q329" s="9">
        <v>3211</v>
      </c>
      <c r="R329" s="9">
        <v>2911</v>
      </c>
      <c r="S329" s="9">
        <v>3047</v>
      </c>
      <c r="T329" s="9">
        <v>2977</v>
      </c>
      <c r="U329" s="9">
        <v>3432</v>
      </c>
      <c r="V329" s="9">
        <v>3309</v>
      </c>
      <c r="AO329" s="9"/>
    </row>
    <row r="330" spans="2:22" ht="12.75">
      <c r="B330" s="10"/>
      <c r="C330" s="10">
        <f>C291-SUM(C327:C329)</f>
        <v>0</v>
      </c>
      <c r="D330" s="10">
        <f aca="true" t="shared" si="68" ref="D330:Q330">D291-SUM(D327:D329)</f>
        <v>1</v>
      </c>
      <c r="E330" s="10">
        <f t="shared" si="68"/>
        <v>0</v>
      </c>
      <c r="F330" s="10">
        <f t="shared" si="68"/>
        <v>0</v>
      </c>
      <c r="G330" s="10">
        <f t="shared" si="68"/>
        <v>25589</v>
      </c>
      <c r="H330" s="10">
        <f t="shared" si="68"/>
        <v>26446</v>
      </c>
      <c r="I330" s="10">
        <f t="shared" si="68"/>
        <v>0</v>
      </c>
      <c r="J330" s="10">
        <f t="shared" si="68"/>
        <v>0</v>
      </c>
      <c r="K330" s="10">
        <f t="shared" si="68"/>
        <v>0</v>
      </c>
      <c r="L330" s="10">
        <f t="shared" si="68"/>
        <v>0</v>
      </c>
      <c r="M330" s="10">
        <f t="shared" si="68"/>
        <v>1</v>
      </c>
      <c r="N330" s="10">
        <f t="shared" si="68"/>
        <v>0</v>
      </c>
      <c r="O330" s="10">
        <f t="shared" si="68"/>
        <v>0</v>
      </c>
      <c r="P330" s="10">
        <f t="shared" si="68"/>
        <v>0</v>
      </c>
      <c r="Q330" s="10">
        <f t="shared" si="68"/>
        <v>0</v>
      </c>
      <c r="R330" s="69">
        <f>R306-SUM(R327:R329)</f>
        <v>0</v>
      </c>
      <c r="S330" s="69">
        <f>S306-SUM(S327:S329)</f>
        <v>-1</v>
      </c>
      <c r="T330" s="69">
        <f>T306-SUM(T327:T329)</f>
        <v>0</v>
      </c>
      <c r="U330" s="69">
        <f>U306-SUM(U327:U329)</f>
        <v>-1</v>
      </c>
      <c r="V330" s="69">
        <f>V306-SUM(V327:V329)</f>
        <v>0</v>
      </c>
    </row>
    <row r="331" spans="1:22" ht="12.75">
      <c r="A331" s="19" t="s">
        <v>114</v>
      </c>
      <c r="R331" s="10"/>
      <c r="S331" s="10"/>
      <c r="T331" s="10"/>
      <c r="U331" s="10"/>
      <c r="V331" s="10"/>
    </row>
    <row r="332" spans="18:22" ht="12.75">
      <c r="R332" s="10"/>
      <c r="S332" s="10"/>
      <c r="T332" s="10"/>
      <c r="U332" s="10"/>
      <c r="V332" s="10"/>
    </row>
    <row r="333" spans="1:41" ht="12.75">
      <c r="A333" s="2" t="s">
        <v>233</v>
      </c>
      <c r="R333" s="10"/>
      <c r="S333" s="10"/>
      <c r="T333" s="10"/>
      <c r="U333" s="10"/>
      <c r="V333" s="10"/>
      <c r="AN333" s="9"/>
      <c r="AO333" s="9"/>
    </row>
    <row r="334" spans="1:41" ht="12.75">
      <c r="A334" s="2" t="s">
        <v>47</v>
      </c>
      <c r="B334" s="9">
        <v>61448</v>
      </c>
      <c r="C334" s="9">
        <v>62832</v>
      </c>
      <c r="D334" s="9">
        <v>64485</v>
      </c>
      <c r="E334" s="9">
        <v>65982</v>
      </c>
      <c r="F334" s="9">
        <v>67357</v>
      </c>
      <c r="G334" s="9">
        <v>69471</v>
      </c>
      <c r="H334" s="9">
        <v>70956</v>
      </c>
      <c r="I334" s="9">
        <v>72121</v>
      </c>
      <c r="J334" s="9">
        <v>75317</v>
      </c>
      <c r="K334" s="9">
        <v>77358</v>
      </c>
      <c r="L334" s="9">
        <v>82510</v>
      </c>
      <c r="M334" s="9">
        <v>85575</v>
      </c>
      <c r="N334" s="9">
        <v>88395</v>
      </c>
      <c r="O334" s="9">
        <v>87254</v>
      </c>
      <c r="P334" s="9">
        <v>88668</v>
      </c>
      <c r="Q334" s="9">
        <v>92341</v>
      </c>
      <c r="R334" s="9">
        <v>96629</v>
      </c>
      <c r="S334" s="9">
        <v>98196</v>
      </c>
      <c r="T334" s="9">
        <v>101087</v>
      </c>
      <c r="U334" s="9">
        <v>102331</v>
      </c>
      <c r="V334" s="9">
        <v>105572</v>
      </c>
      <c r="AN334" s="9"/>
      <c r="AO334" s="9"/>
    </row>
    <row r="335" spans="1:41" ht="12.75">
      <c r="A335" s="2" t="s">
        <v>48</v>
      </c>
      <c r="B335" s="9">
        <v>12243</v>
      </c>
      <c r="C335" s="9">
        <v>11608</v>
      </c>
      <c r="D335" s="9">
        <v>11607</v>
      </c>
      <c r="E335" s="9">
        <v>11875</v>
      </c>
      <c r="F335" s="9">
        <v>11943</v>
      </c>
      <c r="G335" s="9">
        <v>11985</v>
      </c>
      <c r="H335" s="9">
        <v>12274</v>
      </c>
      <c r="I335" s="9">
        <v>12566</v>
      </c>
      <c r="J335" s="9">
        <v>12961</v>
      </c>
      <c r="K335" s="9">
        <v>13043</v>
      </c>
      <c r="L335" s="9">
        <v>13228</v>
      </c>
      <c r="M335" s="9">
        <v>13292</v>
      </c>
      <c r="N335" s="9">
        <v>13411</v>
      </c>
      <c r="O335" s="9">
        <v>12911</v>
      </c>
      <c r="P335" s="9">
        <v>12944</v>
      </c>
      <c r="Q335" s="9">
        <v>13311</v>
      </c>
      <c r="R335" s="9">
        <v>11974</v>
      </c>
      <c r="S335" s="9">
        <v>13476</v>
      </c>
      <c r="T335" s="9">
        <v>14365</v>
      </c>
      <c r="U335" s="9">
        <v>14313</v>
      </c>
      <c r="V335" s="9">
        <v>14359</v>
      </c>
      <c r="AN335" s="9"/>
      <c r="AO335" s="9"/>
    </row>
    <row r="336" spans="1:41" ht="12.75">
      <c r="A336" s="5" t="s">
        <v>49</v>
      </c>
      <c r="B336" s="9">
        <v>1602</v>
      </c>
      <c r="C336" s="9">
        <v>1447</v>
      </c>
      <c r="D336" s="9">
        <v>1461</v>
      </c>
      <c r="E336" s="9">
        <v>1458</v>
      </c>
      <c r="F336" s="9">
        <v>1416</v>
      </c>
      <c r="G336" s="9">
        <v>1378</v>
      </c>
      <c r="H336" s="9">
        <v>1356</v>
      </c>
      <c r="I336" s="9">
        <v>1338</v>
      </c>
      <c r="J336" s="9">
        <v>1332</v>
      </c>
      <c r="K336" s="9">
        <v>1274</v>
      </c>
      <c r="L336" s="9">
        <v>1010</v>
      </c>
      <c r="M336" s="9">
        <v>948</v>
      </c>
      <c r="N336" s="9">
        <v>974</v>
      </c>
      <c r="O336" s="9">
        <v>1699</v>
      </c>
      <c r="P336" s="9">
        <v>1910</v>
      </c>
      <c r="Q336" s="9">
        <v>752</v>
      </c>
      <c r="R336" s="9">
        <v>588</v>
      </c>
      <c r="S336" s="9">
        <v>620</v>
      </c>
      <c r="T336" s="9">
        <v>586</v>
      </c>
      <c r="U336" s="9">
        <v>567</v>
      </c>
      <c r="V336" s="9">
        <v>601</v>
      </c>
      <c r="AN336" s="9"/>
      <c r="AO336" s="9"/>
    </row>
    <row r="337" spans="1:41" ht="12.75">
      <c r="A337" s="5"/>
      <c r="R337" s="10"/>
      <c r="S337" s="10"/>
      <c r="T337" s="10"/>
      <c r="U337" s="10"/>
      <c r="V337" s="10"/>
      <c r="AN337" s="9"/>
      <c r="AO337" s="9"/>
    </row>
    <row r="338" spans="1:41" ht="12.75">
      <c r="A338" s="5" t="s">
        <v>234</v>
      </c>
      <c r="R338" s="10"/>
      <c r="S338" s="10"/>
      <c r="T338" s="10"/>
      <c r="U338" s="10"/>
      <c r="V338" s="10"/>
      <c r="AN338" s="9"/>
      <c r="AO338" s="9"/>
    </row>
    <row r="339" spans="1:41" ht="12.75">
      <c r="A339" s="2" t="s">
        <v>50</v>
      </c>
      <c r="B339" s="9">
        <v>53673</v>
      </c>
      <c r="C339" s="9">
        <v>54894</v>
      </c>
      <c r="D339" s="9">
        <v>56484</v>
      </c>
      <c r="E339" s="9">
        <v>57819</v>
      </c>
      <c r="F339" s="9">
        <v>59026</v>
      </c>
      <c r="G339" s="9">
        <v>60805</v>
      </c>
      <c r="H339" s="9">
        <v>62063</v>
      </c>
      <c r="I339" s="9">
        <v>63113</v>
      </c>
      <c r="J339" s="9">
        <v>65992</v>
      </c>
      <c r="K339" s="9">
        <v>68102</v>
      </c>
      <c r="L339" s="9">
        <v>73230</v>
      </c>
      <c r="M339" s="9">
        <v>76155</v>
      </c>
      <c r="N339" s="9">
        <v>78801</v>
      </c>
      <c r="O339" s="9">
        <v>77940</v>
      </c>
      <c r="P339" s="9">
        <v>79604</v>
      </c>
      <c r="Q339" s="9">
        <v>82086</v>
      </c>
      <c r="R339" s="9">
        <v>84504</v>
      </c>
      <c r="S339" s="9">
        <v>87329</v>
      </c>
      <c r="T339" s="9">
        <v>91449</v>
      </c>
      <c r="U339" s="9">
        <v>92897</v>
      </c>
      <c r="V339" s="9">
        <v>96037</v>
      </c>
      <c r="AN339" s="9"/>
      <c r="AO339" s="9"/>
    </row>
    <row r="340" spans="1:41" ht="12.75">
      <c r="A340" s="2" t="s">
        <v>51</v>
      </c>
      <c r="B340" s="9">
        <v>19688</v>
      </c>
      <c r="C340" s="9">
        <v>19434</v>
      </c>
      <c r="D340" s="9">
        <v>19694</v>
      </c>
      <c r="E340" s="9">
        <v>20177</v>
      </c>
      <c r="F340" s="9">
        <v>20489</v>
      </c>
      <c r="G340" s="9">
        <v>20929</v>
      </c>
      <c r="H340" s="9">
        <v>21510</v>
      </c>
      <c r="I340" s="9">
        <v>21914</v>
      </c>
      <c r="J340" s="9">
        <v>22653</v>
      </c>
      <c r="K340" s="9">
        <v>22861</v>
      </c>
      <c r="L340" s="9">
        <v>22985</v>
      </c>
      <c r="M340" s="9">
        <v>23232</v>
      </c>
      <c r="N340" s="9">
        <v>23632</v>
      </c>
      <c r="O340" s="9">
        <v>23651</v>
      </c>
      <c r="P340" s="9">
        <v>23671</v>
      </c>
      <c r="Q340" s="9">
        <v>24115</v>
      </c>
      <c r="R340" s="9">
        <v>24499</v>
      </c>
      <c r="S340" s="9">
        <v>24758</v>
      </c>
      <c r="T340" s="9">
        <v>24406</v>
      </c>
      <c r="U340" s="9">
        <v>24089</v>
      </c>
      <c r="V340" s="9">
        <v>24290</v>
      </c>
      <c r="AN340" s="9"/>
      <c r="AO340" s="9"/>
    </row>
    <row r="341" spans="1:41" ht="12.75">
      <c r="A341" s="2" t="s">
        <v>52</v>
      </c>
      <c r="B341" s="9">
        <v>1932</v>
      </c>
      <c r="C341" s="9">
        <v>1557</v>
      </c>
      <c r="D341" s="9">
        <v>1375</v>
      </c>
      <c r="E341" s="9">
        <v>1320</v>
      </c>
      <c r="F341" s="9">
        <v>1201</v>
      </c>
      <c r="G341" s="9">
        <v>1099</v>
      </c>
      <c r="H341" s="9">
        <v>1013</v>
      </c>
      <c r="I341" s="9">
        <v>998</v>
      </c>
      <c r="J341" s="9">
        <v>965</v>
      </c>
      <c r="K341" s="9">
        <v>712</v>
      </c>
      <c r="L341" s="9">
        <v>534</v>
      </c>
      <c r="M341" s="9">
        <v>427</v>
      </c>
      <c r="N341" s="9">
        <v>346</v>
      </c>
      <c r="O341" s="9">
        <v>273</v>
      </c>
      <c r="P341" s="9">
        <v>247</v>
      </c>
      <c r="Q341" s="9">
        <v>203</v>
      </c>
      <c r="R341" s="9">
        <v>188</v>
      </c>
      <c r="S341" s="9">
        <v>204</v>
      </c>
      <c r="T341" s="9">
        <v>183</v>
      </c>
      <c r="U341" s="9">
        <v>225</v>
      </c>
      <c r="V341" s="9">
        <v>204</v>
      </c>
      <c r="AN341" s="9"/>
      <c r="AO341" s="9"/>
    </row>
    <row r="342" spans="18:22" ht="12.75">
      <c r="R342" s="10"/>
      <c r="S342" s="10"/>
      <c r="T342" s="10"/>
      <c r="U342" s="10"/>
      <c r="V342" s="10"/>
    </row>
    <row r="343" spans="1:22" ht="12.75">
      <c r="A343" s="2" t="s">
        <v>235</v>
      </c>
      <c r="R343" s="10"/>
      <c r="S343" s="10"/>
      <c r="T343" s="10"/>
      <c r="U343" s="10"/>
      <c r="V343" s="10"/>
    </row>
    <row r="344" spans="1:41" ht="12.75">
      <c r="A344" s="2" t="s">
        <v>43</v>
      </c>
      <c r="B344" s="9">
        <v>72623</v>
      </c>
      <c r="C344" s="9">
        <v>73596</v>
      </c>
      <c r="D344" s="9">
        <v>75469</v>
      </c>
      <c r="E344" s="9">
        <v>77280</v>
      </c>
      <c r="F344" s="9">
        <v>78768</v>
      </c>
      <c r="G344" s="9">
        <v>80777</v>
      </c>
      <c r="H344" s="9">
        <v>82752</v>
      </c>
      <c r="I344" s="9">
        <v>84259</v>
      </c>
      <c r="J344" s="9">
        <v>87794</v>
      </c>
      <c r="K344" s="9">
        <v>90330</v>
      </c>
      <c r="L344" s="9">
        <v>92943</v>
      </c>
      <c r="M344" s="9">
        <v>95966</v>
      </c>
      <c r="N344" s="9">
        <v>99104</v>
      </c>
      <c r="O344" s="9">
        <v>98579</v>
      </c>
      <c r="P344" s="9">
        <v>100091</v>
      </c>
      <c r="Q344" s="9">
        <v>103165</v>
      </c>
      <c r="R344" s="9">
        <v>103978</v>
      </c>
      <c r="S344" s="9">
        <v>107652</v>
      </c>
      <c r="T344" s="9">
        <v>111349</v>
      </c>
      <c r="U344" s="9">
        <v>112068</v>
      </c>
      <c r="V344" s="9">
        <v>115649</v>
      </c>
      <c r="AN344" s="9"/>
      <c r="AO344" s="9"/>
    </row>
    <row r="345" spans="1:41" ht="12.75">
      <c r="A345" s="5" t="s">
        <v>44</v>
      </c>
      <c r="B345" s="9">
        <v>2671</v>
      </c>
      <c r="C345" s="9">
        <v>2291</v>
      </c>
      <c r="D345" s="9">
        <v>2084</v>
      </c>
      <c r="E345" s="9">
        <v>2036</v>
      </c>
      <c r="F345" s="9">
        <v>1948</v>
      </c>
      <c r="G345" s="9">
        <v>2056</v>
      </c>
      <c r="H345" s="9">
        <v>1834</v>
      </c>
      <c r="I345" s="9">
        <v>1765</v>
      </c>
      <c r="J345" s="9">
        <v>1816</v>
      </c>
      <c r="K345" s="9">
        <v>1345</v>
      </c>
      <c r="L345" s="9">
        <v>3808</v>
      </c>
      <c r="M345" s="9">
        <v>3849</v>
      </c>
      <c r="N345" s="9">
        <v>3676</v>
      </c>
      <c r="O345" s="9">
        <v>3285</v>
      </c>
      <c r="P345" s="9">
        <v>3431</v>
      </c>
      <c r="Q345" s="9">
        <v>3238</v>
      </c>
      <c r="R345" s="9">
        <v>5213</v>
      </c>
      <c r="S345" s="9">
        <v>4640</v>
      </c>
      <c r="T345" s="9">
        <v>4690</v>
      </c>
      <c r="U345" s="9">
        <v>5144</v>
      </c>
      <c r="V345" s="9">
        <v>4883</v>
      </c>
      <c r="AN345" s="9"/>
      <c r="AO345" s="9"/>
    </row>
    <row r="346" spans="1:41" ht="12.75">
      <c r="A346" s="5"/>
      <c r="R346" s="10"/>
      <c r="S346" s="10"/>
      <c r="T346" s="10"/>
      <c r="U346" s="10"/>
      <c r="V346" s="10"/>
      <c r="AN346" s="9"/>
      <c r="AO346" s="9"/>
    </row>
    <row r="347" spans="1:41" ht="12.75">
      <c r="A347" s="2" t="s">
        <v>236</v>
      </c>
      <c r="R347" s="10"/>
      <c r="S347" s="10"/>
      <c r="T347" s="10"/>
      <c r="U347" s="10"/>
      <c r="V347" s="10"/>
      <c r="AN347" s="9"/>
      <c r="AO347" s="9"/>
    </row>
    <row r="348" spans="1:41" ht="12.75">
      <c r="A348" s="2" t="s">
        <v>45</v>
      </c>
      <c r="B348" s="53">
        <v>71720</v>
      </c>
      <c r="C348" s="53">
        <v>72850</v>
      </c>
      <c r="D348" s="53">
        <v>74847</v>
      </c>
      <c r="E348" s="53">
        <v>76655</v>
      </c>
      <c r="F348" s="53">
        <v>78174</v>
      </c>
      <c r="G348" s="53">
        <v>80331</v>
      </c>
      <c r="H348" s="53">
        <v>82233</v>
      </c>
      <c r="I348" s="53">
        <v>83665</v>
      </c>
      <c r="J348" s="53">
        <v>87235</v>
      </c>
      <c r="K348" s="53">
        <v>89441</v>
      </c>
      <c r="L348" s="14" t="s">
        <v>242</v>
      </c>
      <c r="M348" s="14" t="s">
        <v>242</v>
      </c>
      <c r="N348" s="9">
        <v>99641</v>
      </c>
      <c r="O348" s="9">
        <v>99015</v>
      </c>
      <c r="P348" s="9">
        <v>101708</v>
      </c>
      <c r="Q348" s="9">
        <v>104410</v>
      </c>
      <c r="R348" s="9">
        <v>107423</v>
      </c>
      <c r="S348" s="9">
        <v>110136</v>
      </c>
      <c r="T348" s="9">
        <v>113987</v>
      </c>
      <c r="U348" s="9">
        <v>115034</v>
      </c>
      <c r="V348" s="9">
        <v>118435</v>
      </c>
      <c r="AN348" s="9"/>
      <c r="AO348" s="9"/>
    </row>
    <row r="349" spans="1:41" ht="12.75">
      <c r="A349" s="2" t="s">
        <v>46</v>
      </c>
      <c r="B349" s="53">
        <v>3573</v>
      </c>
      <c r="C349" s="53">
        <v>3036</v>
      </c>
      <c r="D349" s="53">
        <v>2706</v>
      </c>
      <c r="E349" s="53">
        <v>2661</v>
      </c>
      <c r="F349" s="53">
        <v>2542</v>
      </c>
      <c r="G349" s="53">
        <v>2503</v>
      </c>
      <c r="H349" s="53">
        <v>2353</v>
      </c>
      <c r="I349" s="53">
        <v>2359</v>
      </c>
      <c r="J349" s="53">
        <v>2375</v>
      </c>
      <c r="K349" s="53">
        <v>2233</v>
      </c>
      <c r="L349" s="14" t="s">
        <v>242</v>
      </c>
      <c r="M349" s="14" t="s">
        <v>242</v>
      </c>
      <c r="N349" s="9">
        <v>3139</v>
      </c>
      <c r="O349" s="9">
        <v>2849</v>
      </c>
      <c r="P349" s="9">
        <v>1814</v>
      </c>
      <c r="Q349" s="9">
        <v>1993</v>
      </c>
      <c r="R349" s="9">
        <v>1767</v>
      </c>
      <c r="S349" s="9">
        <v>2156</v>
      </c>
      <c r="T349" s="9">
        <v>2051</v>
      </c>
      <c r="U349" s="9">
        <v>2177</v>
      </c>
      <c r="V349" s="9">
        <v>2097</v>
      </c>
      <c r="AN349" s="9"/>
      <c r="AO349" s="9"/>
    </row>
    <row r="351" spans="1:41" ht="12.75">
      <c r="A351" s="18" t="s">
        <v>237</v>
      </c>
      <c r="B351" s="9">
        <v>830</v>
      </c>
      <c r="C351" s="9">
        <v>723</v>
      </c>
      <c r="D351" s="9">
        <v>695</v>
      </c>
      <c r="E351" s="9">
        <v>716</v>
      </c>
      <c r="F351" s="9">
        <v>818</v>
      </c>
      <c r="G351" s="9">
        <v>960</v>
      </c>
      <c r="H351" s="9">
        <v>951</v>
      </c>
      <c r="I351" s="9">
        <v>997</v>
      </c>
      <c r="J351" s="9">
        <v>952</v>
      </c>
      <c r="K351" s="9">
        <v>976</v>
      </c>
      <c r="L351" s="9">
        <v>752</v>
      </c>
      <c r="M351" s="9">
        <v>908</v>
      </c>
      <c r="N351" s="9">
        <v>959</v>
      </c>
      <c r="O351" s="9">
        <v>1148</v>
      </c>
      <c r="P351" s="9">
        <v>1282</v>
      </c>
      <c r="Q351" s="9">
        <v>1436</v>
      </c>
      <c r="R351" s="9">
        <v>617</v>
      </c>
      <c r="S351" s="9">
        <v>898</v>
      </c>
      <c r="T351" s="9">
        <v>709</v>
      </c>
      <c r="U351" s="9">
        <v>853</v>
      </c>
      <c r="V351" s="9">
        <v>796</v>
      </c>
      <c r="AN351" s="9"/>
      <c r="AO351" s="9"/>
    </row>
    <row r="352" spans="1:41" ht="12.75">
      <c r="A352" s="18"/>
      <c r="AN352" s="9"/>
      <c r="AO352" s="9"/>
    </row>
    <row r="353" spans="1:41" ht="12.75">
      <c r="A353" s="18" t="s">
        <v>239</v>
      </c>
      <c r="L353" s="9">
        <v>1111</v>
      </c>
      <c r="M353" s="9">
        <v>1122</v>
      </c>
      <c r="N353" s="9">
        <v>864</v>
      </c>
      <c r="O353" s="9">
        <v>1114</v>
      </c>
      <c r="P353" s="9">
        <v>1146</v>
      </c>
      <c r="Q353" s="9">
        <v>1232</v>
      </c>
      <c r="R353" s="44"/>
      <c r="S353" s="44"/>
      <c r="T353" s="44" t="s">
        <v>309</v>
      </c>
      <c r="U353" s="9">
        <v>1582</v>
      </c>
      <c r="V353" s="9">
        <v>1690</v>
      </c>
      <c r="AN353" s="9"/>
      <c r="AO353" s="9"/>
    </row>
    <row r="354" spans="1:41" ht="12.75">
      <c r="A354" s="18" t="s">
        <v>238</v>
      </c>
      <c r="B354" s="9">
        <v>925</v>
      </c>
      <c r="C354" s="9">
        <v>832</v>
      </c>
      <c r="D354" s="9">
        <v>858</v>
      </c>
      <c r="E354" s="9">
        <v>810</v>
      </c>
      <c r="F354" s="9">
        <v>813</v>
      </c>
      <c r="G354" s="9">
        <v>758</v>
      </c>
      <c r="H354" s="9">
        <v>737</v>
      </c>
      <c r="I354" s="9">
        <v>724</v>
      </c>
      <c r="J354" s="9">
        <v>726</v>
      </c>
      <c r="K354" s="9">
        <v>716</v>
      </c>
      <c r="AN354" s="9"/>
      <c r="AO354" s="9"/>
    </row>
    <row r="355" spans="1:41" ht="12.75">
      <c r="A355" s="18"/>
      <c r="AN355" s="9"/>
      <c r="AO355" s="9"/>
    </row>
    <row r="357" spans="1:41" ht="12.75">
      <c r="A357" s="3" t="s">
        <v>129</v>
      </c>
      <c r="AN357" s="9"/>
      <c r="AO357" s="9"/>
    </row>
    <row r="358" spans="1:41" ht="12.75">
      <c r="A358" s="3" t="s">
        <v>130</v>
      </c>
      <c r="B358" s="9">
        <v>37455</v>
      </c>
      <c r="C358" s="9">
        <v>38406</v>
      </c>
      <c r="D358" s="9">
        <v>40277</v>
      </c>
      <c r="E358" s="9">
        <v>41869</v>
      </c>
      <c r="F358" s="9">
        <v>43417</v>
      </c>
      <c r="G358" s="9">
        <v>45713</v>
      </c>
      <c r="H358" s="9">
        <v>47518</v>
      </c>
      <c r="I358" s="9">
        <v>48326</v>
      </c>
      <c r="J358" s="9">
        <v>50831</v>
      </c>
      <c r="K358" s="9">
        <v>52107</v>
      </c>
      <c r="L358" s="9">
        <v>57440</v>
      </c>
      <c r="M358" s="9">
        <v>59764</v>
      </c>
      <c r="N358" s="9">
        <v>61983</v>
      </c>
      <c r="O358" s="9">
        <v>62846</v>
      </c>
      <c r="P358" s="9">
        <v>64611</v>
      </c>
      <c r="Q358" s="9">
        <v>67043</v>
      </c>
      <c r="R358" s="9">
        <v>67968</v>
      </c>
      <c r="S358" s="9">
        <v>70972</v>
      </c>
      <c r="T358" s="9">
        <v>74006</v>
      </c>
      <c r="U358" s="9">
        <v>74537</v>
      </c>
      <c r="V358" s="9">
        <v>77574</v>
      </c>
      <c r="AN358" s="9"/>
      <c r="AO358" s="9"/>
    </row>
    <row r="359" spans="1:41" ht="12.75">
      <c r="A359" s="18" t="s">
        <v>131</v>
      </c>
      <c r="B359" s="9">
        <v>28029</v>
      </c>
      <c r="C359" s="9">
        <v>28636</v>
      </c>
      <c r="D359" s="9">
        <v>28645</v>
      </c>
      <c r="E359" s="9">
        <v>28718</v>
      </c>
      <c r="F359" s="9">
        <v>28586</v>
      </c>
      <c r="G359" s="9">
        <v>28209</v>
      </c>
      <c r="H359" s="9">
        <v>27906</v>
      </c>
      <c r="I359" s="9">
        <v>28410</v>
      </c>
      <c r="J359" s="9">
        <v>29046</v>
      </c>
      <c r="K359" s="9">
        <v>29605</v>
      </c>
      <c r="L359" s="9">
        <v>28489</v>
      </c>
      <c r="M359" s="9">
        <v>28690</v>
      </c>
      <c r="N359" s="9">
        <v>29024</v>
      </c>
      <c r="O359" s="9">
        <v>27773</v>
      </c>
      <c r="P359" s="9">
        <v>27727</v>
      </c>
      <c r="Q359" s="9">
        <v>28097</v>
      </c>
      <c r="R359" s="9">
        <v>28713</v>
      </c>
      <c r="S359" s="9">
        <v>29259</v>
      </c>
      <c r="T359" s="9">
        <v>29595</v>
      </c>
      <c r="U359" s="9">
        <v>28743</v>
      </c>
      <c r="V359" s="9">
        <v>28673</v>
      </c>
      <c r="AN359" s="9"/>
      <c r="AO359" s="9"/>
    </row>
    <row r="360" spans="1:41" ht="12.75">
      <c r="A360" s="18" t="s">
        <v>132</v>
      </c>
      <c r="B360" s="9">
        <v>2984</v>
      </c>
      <c r="C360" s="9">
        <v>2978</v>
      </c>
      <c r="D360" s="9">
        <v>2890</v>
      </c>
      <c r="E360" s="9">
        <v>2706</v>
      </c>
      <c r="F360" s="9">
        <v>2604</v>
      </c>
      <c r="G360" s="9">
        <v>2418</v>
      </c>
      <c r="H360" s="9">
        <v>2358</v>
      </c>
      <c r="I360" s="9">
        <v>2549</v>
      </c>
      <c r="J360" s="9">
        <v>2401</v>
      </c>
      <c r="K360" s="9">
        <v>2228</v>
      </c>
      <c r="L360" s="9">
        <v>1965</v>
      </c>
      <c r="M360" s="9">
        <v>1984</v>
      </c>
      <c r="N360" s="9">
        <v>2081</v>
      </c>
      <c r="O360" s="9">
        <v>2010</v>
      </c>
      <c r="P360" s="9">
        <v>1940</v>
      </c>
      <c r="Q360" s="9">
        <v>2059</v>
      </c>
      <c r="R360" s="9">
        <v>2151</v>
      </c>
      <c r="S360" s="9">
        <v>2127</v>
      </c>
      <c r="T360" s="9">
        <v>2151</v>
      </c>
      <c r="U360" s="9">
        <v>2097</v>
      </c>
      <c r="V360" s="9">
        <v>2166</v>
      </c>
      <c r="AN360" s="9"/>
      <c r="AO360" s="9"/>
    </row>
    <row r="361" spans="1:41" ht="12.75">
      <c r="A361" s="18" t="s">
        <v>133</v>
      </c>
      <c r="B361" s="9">
        <v>869</v>
      </c>
      <c r="C361" s="9">
        <v>810</v>
      </c>
      <c r="D361" s="9">
        <v>710</v>
      </c>
      <c r="E361" s="9">
        <v>712</v>
      </c>
      <c r="F361" s="9">
        <v>674</v>
      </c>
      <c r="G361" s="9">
        <v>826</v>
      </c>
      <c r="H361" s="9">
        <v>789</v>
      </c>
      <c r="I361" s="9">
        <v>787</v>
      </c>
      <c r="J361" s="9">
        <v>899</v>
      </c>
      <c r="K361" s="9">
        <v>700</v>
      </c>
      <c r="L361" s="9">
        <v>531</v>
      </c>
      <c r="M361" s="9">
        <v>450</v>
      </c>
      <c r="N361" s="9">
        <v>595</v>
      </c>
      <c r="O361" s="9">
        <v>518</v>
      </c>
      <c r="P361" s="9">
        <v>446</v>
      </c>
      <c r="Q361" s="9">
        <v>495</v>
      </c>
      <c r="R361" s="9">
        <v>655</v>
      </c>
      <c r="S361" s="9">
        <v>444</v>
      </c>
      <c r="T361" s="9">
        <v>509</v>
      </c>
      <c r="U361" s="9">
        <v>465</v>
      </c>
      <c r="V361" s="9">
        <v>457</v>
      </c>
      <c r="AN361" s="9"/>
      <c r="AO361" s="9"/>
    </row>
    <row r="362" spans="40:41" ht="12.75">
      <c r="AN362" s="9"/>
      <c r="AO362" s="9"/>
    </row>
    <row r="363" spans="1:41" ht="12.75">
      <c r="A363" s="18" t="s">
        <v>298</v>
      </c>
      <c r="AN363" s="9"/>
      <c r="AO363" s="9"/>
    </row>
    <row r="364" spans="1:41" ht="12.75">
      <c r="A364" s="18"/>
      <c r="AN364" s="9"/>
      <c r="AO364" s="9"/>
    </row>
    <row r="365" spans="1:41" ht="12.75">
      <c r="A365" s="18" t="s">
        <v>260</v>
      </c>
      <c r="B365" s="9">
        <v>2749</v>
      </c>
      <c r="C365" s="9">
        <v>2375</v>
      </c>
      <c r="D365" s="9">
        <v>1336</v>
      </c>
      <c r="E365" s="9">
        <v>1131</v>
      </c>
      <c r="F365" s="9">
        <v>1003</v>
      </c>
      <c r="G365" s="9">
        <v>2447</v>
      </c>
      <c r="H365" s="9">
        <v>2278</v>
      </c>
      <c r="I365" s="9">
        <v>2356</v>
      </c>
      <c r="J365" s="9">
        <v>2375</v>
      </c>
      <c r="K365" s="9">
        <v>2263</v>
      </c>
      <c r="L365" s="9">
        <v>2009</v>
      </c>
      <c r="M365" s="9">
        <v>1875</v>
      </c>
      <c r="N365" s="9">
        <v>1627</v>
      </c>
      <c r="O365" s="9">
        <v>1491</v>
      </c>
      <c r="P365" s="9">
        <v>1603</v>
      </c>
      <c r="Q365" s="9">
        <v>1760</v>
      </c>
      <c r="R365" s="9">
        <v>788</v>
      </c>
      <c r="S365" s="9">
        <v>623</v>
      </c>
      <c r="T365" s="9">
        <v>535</v>
      </c>
      <c r="U365" s="9">
        <v>643</v>
      </c>
      <c r="V365" s="9">
        <v>700</v>
      </c>
      <c r="AN365" s="9"/>
      <c r="AO365" s="9"/>
    </row>
    <row r="366" spans="1:41" ht="12.75">
      <c r="A366" s="18" t="s">
        <v>99</v>
      </c>
      <c r="B366" s="9">
        <v>122</v>
      </c>
      <c r="C366" s="9">
        <v>482</v>
      </c>
      <c r="D366" s="9">
        <v>95</v>
      </c>
      <c r="E366" s="9">
        <v>61</v>
      </c>
      <c r="F366" s="9">
        <v>168</v>
      </c>
      <c r="G366" s="9">
        <v>207</v>
      </c>
      <c r="H366" s="9">
        <v>192</v>
      </c>
      <c r="I366" s="9">
        <v>186</v>
      </c>
      <c r="J366" s="9">
        <v>301</v>
      </c>
      <c r="K366" s="9">
        <v>364</v>
      </c>
      <c r="AN366" s="9"/>
      <c r="AO366" s="9"/>
    </row>
    <row r="367" spans="1:41" ht="12.75">
      <c r="A367" s="18" t="s">
        <v>261</v>
      </c>
      <c r="B367" s="9">
        <v>3661</v>
      </c>
      <c r="C367" s="9">
        <v>3078</v>
      </c>
      <c r="D367" s="9">
        <v>2528</v>
      </c>
      <c r="E367" s="9">
        <v>2355</v>
      </c>
      <c r="F367" s="9">
        <v>2147</v>
      </c>
      <c r="G367" s="9">
        <v>2817</v>
      </c>
      <c r="H367" s="9">
        <v>2705</v>
      </c>
      <c r="I367" s="9">
        <v>2790</v>
      </c>
      <c r="J367" s="9">
        <v>2728</v>
      </c>
      <c r="K367" s="9">
        <v>2580</v>
      </c>
      <c r="L367" s="9">
        <v>2502</v>
      </c>
      <c r="M367" s="9">
        <v>2229</v>
      </c>
      <c r="N367" s="9">
        <v>1779</v>
      </c>
      <c r="O367" s="9">
        <v>1637</v>
      </c>
      <c r="P367" s="9">
        <v>1721</v>
      </c>
      <c r="Q367" s="9">
        <v>1816</v>
      </c>
      <c r="R367" s="9">
        <v>2122</v>
      </c>
      <c r="S367" s="9">
        <v>1677</v>
      </c>
      <c r="T367" s="9">
        <v>1308</v>
      </c>
      <c r="U367" s="9">
        <v>1486</v>
      </c>
      <c r="V367" s="9">
        <v>1543</v>
      </c>
      <c r="AN367" s="9"/>
      <c r="AO367" s="9"/>
    </row>
    <row r="368" spans="1:41" ht="12.75">
      <c r="A368" s="18" t="s">
        <v>99</v>
      </c>
      <c r="B368" s="9">
        <v>80</v>
      </c>
      <c r="C368" s="9">
        <v>1181</v>
      </c>
      <c r="D368" s="9">
        <v>97</v>
      </c>
      <c r="E368" s="9">
        <v>67</v>
      </c>
      <c r="F368" s="9">
        <v>187</v>
      </c>
      <c r="G368" s="9">
        <v>182</v>
      </c>
      <c r="H368" s="9">
        <v>158</v>
      </c>
      <c r="I368" s="9">
        <v>144</v>
      </c>
      <c r="J368" s="9">
        <v>270</v>
      </c>
      <c r="K368" s="9">
        <v>334</v>
      </c>
      <c r="AN368" s="9"/>
      <c r="AO368" s="9"/>
    </row>
    <row r="369" spans="1:41" ht="12.75">
      <c r="A369" s="18" t="s">
        <v>262</v>
      </c>
      <c r="B369" s="9">
        <v>9938</v>
      </c>
      <c r="C369" s="9">
        <v>9391</v>
      </c>
      <c r="D369" s="9">
        <v>8416</v>
      </c>
      <c r="E369" s="9">
        <v>8294</v>
      </c>
      <c r="F369" s="9">
        <v>8088</v>
      </c>
      <c r="G369" s="9">
        <v>8981</v>
      </c>
      <c r="H369" s="9">
        <v>9446</v>
      </c>
      <c r="I369" s="9">
        <v>10420</v>
      </c>
      <c r="J369" s="9">
        <v>8576</v>
      </c>
      <c r="K369" s="9">
        <v>12525</v>
      </c>
      <c r="L369" s="9">
        <v>13515</v>
      </c>
      <c r="M369" s="9">
        <v>13321</v>
      </c>
      <c r="N369" s="9">
        <v>13631</v>
      </c>
      <c r="O369" s="9">
        <v>12241</v>
      </c>
      <c r="P369" s="9">
        <v>12410</v>
      </c>
      <c r="Q369" s="9">
        <v>12152</v>
      </c>
      <c r="R369" s="9">
        <v>10623</v>
      </c>
      <c r="S369" s="9">
        <v>11365</v>
      </c>
      <c r="T369" s="9">
        <v>11390</v>
      </c>
      <c r="U369" s="9">
        <v>9539</v>
      </c>
      <c r="V369" s="9">
        <v>9753</v>
      </c>
      <c r="AN369" s="9"/>
      <c r="AO369" s="9"/>
    </row>
    <row r="370" spans="1:41" ht="12.75">
      <c r="A370" s="18" t="s">
        <v>136</v>
      </c>
      <c r="B370" s="9">
        <v>868</v>
      </c>
      <c r="C370" s="9">
        <v>644</v>
      </c>
      <c r="D370" s="9">
        <v>750</v>
      </c>
      <c r="E370" s="9">
        <v>718</v>
      </c>
      <c r="F370" s="9">
        <v>814</v>
      </c>
      <c r="G370" s="9">
        <v>631</v>
      </c>
      <c r="H370" s="9">
        <v>926</v>
      </c>
      <c r="I370" s="9">
        <v>701</v>
      </c>
      <c r="J370" s="9">
        <v>733</v>
      </c>
      <c r="K370" s="9">
        <v>1367</v>
      </c>
      <c r="L370" s="9">
        <v>803</v>
      </c>
      <c r="M370" s="9">
        <v>871</v>
      </c>
      <c r="N370" s="9">
        <v>991</v>
      </c>
      <c r="O370" s="9">
        <v>975</v>
      </c>
      <c r="P370" s="9">
        <v>958</v>
      </c>
      <c r="Q370" s="9">
        <v>1480</v>
      </c>
      <c r="R370" s="9">
        <v>1952</v>
      </c>
      <c r="S370" s="9">
        <v>2373</v>
      </c>
      <c r="T370" s="9">
        <v>2283</v>
      </c>
      <c r="U370" s="9">
        <v>2424</v>
      </c>
      <c r="V370" s="9">
        <v>1808</v>
      </c>
      <c r="AN370" s="9"/>
      <c r="AO370" s="9"/>
    </row>
    <row r="371" spans="1:41" ht="12.75">
      <c r="A371" s="18"/>
      <c r="AN371" s="9"/>
      <c r="AO371" s="9"/>
    </row>
    <row r="372" spans="1:41" ht="12.75">
      <c r="A372" s="18" t="s">
        <v>259</v>
      </c>
      <c r="B372" s="9">
        <v>1332</v>
      </c>
      <c r="C372" s="9">
        <v>1308</v>
      </c>
      <c r="D372" s="9">
        <v>1298</v>
      </c>
      <c r="E372" s="9">
        <v>1259</v>
      </c>
      <c r="F372" s="9">
        <v>1324</v>
      </c>
      <c r="G372" s="9">
        <v>1438</v>
      </c>
      <c r="H372" s="9">
        <v>1406</v>
      </c>
      <c r="I372" s="9">
        <v>1564</v>
      </c>
      <c r="J372" s="9">
        <v>1561</v>
      </c>
      <c r="K372" s="9">
        <v>1826</v>
      </c>
      <c r="L372" s="9">
        <v>1483</v>
      </c>
      <c r="M372" s="9">
        <v>1223</v>
      </c>
      <c r="N372" s="9">
        <v>1081</v>
      </c>
      <c r="O372" s="9">
        <v>1139</v>
      </c>
      <c r="P372" s="9">
        <v>1148</v>
      </c>
      <c r="Q372" s="9">
        <v>1074</v>
      </c>
      <c r="R372" s="9">
        <v>1168</v>
      </c>
      <c r="S372" s="9">
        <v>1183</v>
      </c>
      <c r="T372" s="9">
        <v>1148</v>
      </c>
      <c r="U372" s="9">
        <v>978</v>
      </c>
      <c r="V372" s="9">
        <v>981</v>
      </c>
      <c r="AN372" s="9"/>
      <c r="AO372" s="9"/>
    </row>
    <row r="373" spans="1:41" ht="12.75">
      <c r="A373" s="18" t="s">
        <v>99</v>
      </c>
      <c r="B373" s="9">
        <v>1251</v>
      </c>
      <c r="C373" s="9">
        <v>796</v>
      </c>
      <c r="D373" s="9">
        <v>462</v>
      </c>
      <c r="E373" s="9">
        <v>500</v>
      </c>
      <c r="F373" s="9">
        <v>390</v>
      </c>
      <c r="G373" s="9">
        <v>882</v>
      </c>
      <c r="H373" s="9">
        <v>524</v>
      </c>
      <c r="I373" s="9">
        <v>713</v>
      </c>
      <c r="J373" s="9">
        <v>492</v>
      </c>
      <c r="K373" s="9">
        <v>1035</v>
      </c>
      <c r="AN373" s="9"/>
      <c r="AO373" s="9"/>
    </row>
    <row r="374" spans="1:41" ht="12.75">
      <c r="A374" s="18" t="s">
        <v>263</v>
      </c>
      <c r="B374" s="9">
        <v>4179</v>
      </c>
      <c r="C374" s="9">
        <v>4024</v>
      </c>
      <c r="D374" s="9">
        <v>3847</v>
      </c>
      <c r="E374" s="9">
        <v>3945</v>
      </c>
      <c r="F374" s="9">
        <v>3891</v>
      </c>
      <c r="G374" s="9">
        <v>4591</v>
      </c>
      <c r="H374" s="9">
        <v>4673</v>
      </c>
      <c r="I374" s="9">
        <v>4459</v>
      </c>
      <c r="J374" s="9">
        <v>4647</v>
      </c>
      <c r="K374" s="9">
        <v>5210</v>
      </c>
      <c r="L374" s="9">
        <v>5572</v>
      </c>
      <c r="M374" s="9">
        <v>5189</v>
      </c>
      <c r="N374" s="9">
        <v>4933</v>
      </c>
      <c r="O374" s="9">
        <v>4705</v>
      </c>
      <c r="P374" s="9">
        <v>4542</v>
      </c>
      <c r="Q374" s="9">
        <v>4527</v>
      </c>
      <c r="R374" s="9">
        <v>5748</v>
      </c>
      <c r="S374" s="9">
        <v>5675</v>
      </c>
      <c r="T374" s="9">
        <v>5697</v>
      </c>
      <c r="U374" s="9">
        <v>5232</v>
      </c>
      <c r="V374" s="9">
        <v>5241</v>
      </c>
      <c r="AN374" s="9"/>
      <c r="AO374" s="9"/>
    </row>
    <row r="375" spans="1:41" ht="12.75">
      <c r="A375" s="18" t="s">
        <v>99</v>
      </c>
      <c r="B375" s="9">
        <v>107</v>
      </c>
      <c r="C375" s="9">
        <v>121</v>
      </c>
      <c r="D375" s="9">
        <v>129</v>
      </c>
      <c r="E375" s="9">
        <v>134</v>
      </c>
      <c r="F375" s="9">
        <v>161</v>
      </c>
      <c r="G375" s="9">
        <v>123</v>
      </c>
      <c r="H375" s="9">
        <v>98</v>
      </c>
      <c r="I375" s="9">
        <v>89</v>
      </c>
      <c r="J375" s="9">
        <v>114</v>
      </c>
      <c r="K375" s="9">
        <v>170</v>
      </c>
      <c r="AN375" s="9"/>
      <c r="AO375" s="9"/>
    </row>
    <row r="376" spans="1:41" ht="12.75">
      <c r="A376" s="18"/>
      <c r="AN376" s="9"/>
      <c r="AO376" s="9"/>
    </row>
    <row r="377" spans="1:41" ht="12.75">
      <c r="A377" s="18" t="s">
        <v>297</v>
      </c>
      <c r="AN377" s="9"/>
      <c r="AO377" s="9"/>
    </row>
    <row r="378" spans="1:41" ht="12.75">
      <c r="A378" s="18" t="s">
        <v>264</v>
      </c>
      <c r="B378" s="9">
        <v>5260</v>
      </c>
      <c r="C378" s="9">
        <v>4737</v>
      </c>
      <c r="D378" s="9">
        <v>4491</v>
      </c>
      <c r="E378" s="9">
        <v>4375</v>
      </c>
      <c r="F378" s="9">
        <v>4517</v>
      </c>
      <c r="G378" s="9">
        <v>4681</v>
      </c>
      <c r="H378" s="9">
        <v>5624</v>
      </c>
      <c r="I378" s="9">
        <v>5169</v>
      </c>
      <c r="J378" s="9">
        <v>4928</v>
      </c>
      <c r="K378" s="9">
        <v>6259</v>
      </c>
      <c r="L378" s="9">
        <v>7751</v>
      </c>
      <c r="M378" s="9">
        <v>6834</v>
      </c>
      <c r="N378" s="9">
        <v>6792</v>
      </c>
      <c r="O378" s="9">
        <v>6281</v>
      </c>
      <c r="P378" s="9">
        <v>7163</v>
      </c>
      <c r="Q378" s="9">
        <v>7266</v>
      </c>
      <c r="R378" s="9">
        <v>6703</v>
      </c>
      <c r="S378" s="9">
        <v>6168</v>
      </c>
      <c r="T378" s="9">
        <v>6430</v>
      </c>
      <c r="U378" s="9">
        <v>5285</v>
      </c>
      <c r="V378" s="9">
        <v>5828</v>
      </c>
      <c r="AN378" s="9"/>
      <c r="AO378" s="9"/>
    </row>
    <row r="379" spans="1:41" ht="12.75">
      <c r="A379" s="18" t="s">
        <v>136</v>
      </c>
      <c r="B379" s="9">
        <v>2703</v>
      </c>
      <c r="C379" s="9">
        <v>2995</v>
      </c>
      <c r="D379" s="9">
        <v>2913</v>
      </c>
      <c r="E379" s="9">
        <v>2925</v>
      </c>
      <c r="F379" s="9">
        <v>3018</v>
      </c>
      <c r="G379" s="9">
        <v>3951</v>
      </c>
      <c r="H379" s="9">
        <v>2776</v>
      </c>
      <c r="I379" s="9">
        <v>3211</v>
      </c>
      <c r="J379" s="9">
        <v>4510</v>
      </c>
      <c r="K379" s="9">
        <v>3500</v>
      </c>
      <c r="L379" s="9">
        <v>140</v>
      </c>
      <c r="M379" s="9">
        <v>274</v>
      </c>
      <c r="N379" s="9">
        <v>256</v>
      </c>
      <c r="O379" s="9">
        <v>243</v>
      </c>
      <c r="P379" s="9">
        <v>132</v>
      </c>
      <c r="Q379" s="9">
        <v>365</v>
      </c>
      <c r="R379" s="9">
        <v>992</v>
      </c>
      <c r="S379" s="9">
        <v>1392</v>
      </c>
      <c r="T379" s="9">
        <v>1352</v>
      </c>
      <c r="U379" s="9">
        <v>1522</v>
      </c>
      <c r="V379" s="9">
        <v>1044</v>
      </c>
      <c r="AN379" s="9"/>
      <c r="AO379" s="9"/>
    </row>
    <row r="380" spans="1:41" ht="12.75">
      <c r="A380" s="18" t="s">
        <v>265</v>
      </c>
      <c r="B380" s="9">
        <v>9346</v>
      </c>
      <c r="C380" s="9">
        <v>8688</v>
      </c>
      <c r="D380" s="9">
        <v>8475</v>
      </c>
      <c r="E380" s="9">
        <v>7556</v>
      </c>
      <c r="F380" s="9">
        <v>8148</v>
      </c>
      <c r="G380" s="9">
        <v>8455</v>
      </c>
      <c r="H380" s="55" t="s">
        <v>242</v>
      </c>
      <c r="I380" s="55" t="s">
        <v>242</v>
      </c>
      <c r="J380" s="55" t="s">
        <v>242</v>
      </c>
      <c r="K380" s="9">
        <v>9617</v>
      </c>
      <c r="L380" s="9">
        <v>6039</v>
      </c>
      <c r="M380" s="9">
        <v>5592</v>
      </c>
      <c r="N380" s="9">
        <v>5410</v>
      </c>
      <c r="O380" s="9">
        <v>4849</v>
      </c>
      <c r="P380" s="9">
        <v>6198</v>
      </c>
      <c r="Q380" s="9">
        <v>4944</v>
      </c>
      <c r="R380" s="9">
        <v>4202</v>
      </c>
      <c r="S380" s="9">
        <v>3934</v>
      </c>
      <c r="T380" s="9">
        <v>3861</v>
      </c>
      <c r="U380" s="9">
        <v>3581</v>
      </c>
      <c r="V380" s="9">
        <v>3546</v>
      </c>
      <c r="AN380" s="9"/>
      <c r="AO380" s="9"/>
    </row>
    <row r="381" spans="1:41" ht="12.75">
      <c r="A381" s="18" t="s">
        <v>136</v>
      </c>
      <c r="B381" s="9">
        <v>3213</v>
      </c>
      <c r="C381" s="9">
        <v>3228</v>
      </c>
      <c r="D381" s="9">
        <v>3132</v>
      </c>
      <c r="E381" s="9">
        <v>3272</v>
      </c>
      <c r="F381" s="9">
        <v>3465</v>
      </c>
      <c r="G381" s="9">
        <v>3625</v>
      </c>
      <c r="H381" s="55" t="s">
        <v>242</v>
      </c>
      <c r="I381" s="55" t="s">
        <v>242</v>
      </c>
      <c r="J381" s="55" t="s">
        <v>242</v>
      </c>
      <c r="K381" s="9">
        <v>3525</v>
      </c>
      <c r="L381" s="9">
        <v>140</v>
      </c>
      <c r="M381" s="9">
        <v>274</v>
      </c>
      <c r="N381" s="9">
        <v>256</v>
      </c>
      <c r="O381" s="9">
        <v>243</v>
      </c>
      <c r="P381" s="9">
        <v>132</v>
      </c>
      <c r="Q381" s="9">
        <v>365</v>
      </c>
      <c r="R381" s="9">
        <v>992</v>
      </c>
      <c r="S381" s="9">
        <v>1392</v>
      </c>
      <c r="T381" s="9">
        <v>1352</v>
      </c>
      <c r="U381" s="9">
        <v>1522</v>
      </c>
      <c r="V381" s="9">
        <v>1044</v>
      </c>
      <c r="AN381" s="9"/>
      <c r="AO381" s="9"/>
    </row>
    <row r="382" spans="1:41" ht="12.75">
      <c r="A382" s="18" t="s">
        <v>266</v>
      </c>
      <c r="B382" s="9">
        <v>34829</v>
      </c>
      <c r="C382" s="9">
        <v>34867</v>
      </c>
      <c r="D382" s="9">
        <v>35237</v>
      </c>
      <c r="E382" s="9">
        <v>35739</v>
      </c>
      <c r="F382" s="9">
        <v>36068</v>
      </c>
      <c r="G382" s="9">
        <v>36771</v>
      </c>
      <c r="H382" s="55">
        <v>37240</v>
      </c>
      <c r="I382" s="55">
        <v>37167</v>
      </c>
      <c r="J382" s="55">
        <v>38239</v>
      </c>
      <c r="K382" s="9">
        <v>38647</v>
      </c>
      <c r="L382" s="9">
        <v>28270</v>
      </c>
      <c r="M382" s="9">
        <v>29049</v>
      </c>
      <c r="N382" s="9">
        <v>29929</v>
      </c>
      <c r="O382" s="9">
        <v>29401</v>
      </c>
      <c r="P382" s="9">
        <v>29910</v>
      </c>
      <c r="Q382" s="9">
        <v>30635</v>
      </c>
      <c r="R382" s="9">
        <v>30087</v>
      </c>
      <c r="S382" s="9">
        <v>31903</v>
      </c>
      <c r="T382" s="9">
        <v>33093</v>
      </c>
      <c r="U382" s="9">
        <v>33067</v>
      </c>
      <c r="V382" s="9">
        <v>33719</v>
      </c>
      <c r="AN382" s="9"/>
      <c r="AO382" s="9"/>
    </row>
    <row r="383" spans="1:41" ht="12.75">
      <c r="A383" s="18"/>
      <c r="H383" s="52"/>
      <c r="I383" s="52"/>
      <c r="J383" s="52" t="s">
        <v>324</v>
      </c>
      <c r="AN383" s="9"/>
      <c r="AO383" s="9"/>
    </row>
    <row r="384" ht="12.75">
      <c r="A384" s="18" t="s">
        <v>243</v>
      </c>
    </row>
    <row r="385" spans="1:22" ht="12.75">
      <c r="A385" s="18" t="s">
        <v>33</v>
      </c>
      <c r="B385" s="54">
        <v>40035</v>
      </c>
      <c r="C385" s="54">
        <v>38459</v>
      </c>
      <c r="D385" s="54">
        <v>39236</v>
      </c>
      <c r="E385" s="54">
        <v>38825</v>
      </c>
      <c r="F385" s="54">
        <v>39052</v>
      </c>
      <c r="G385" s="55" t="s">
        <v>242</v>
      </c>
      <c r="H385" s="55" t="s">
        <v>242</v>
      </c>
      <c r="I385" s="55" t="s">
        <v>242</v>
      </c>
      <c r="J385" s="55" t="s">
        <v>242</v>
      </c>
      <c r="K385" s="55" t="s">
        <v>242</v>
      </c>
      <c r="L385" s="54">
        <v>37364</v>
      </c>
      <c r="M385" s="54">
        <v>71964</v>
      </c>
      <c r="N385" s="54">
        <v>33354</v>
      </c>
      <c r="O385" s="54">
        <v>31031</v>
      </c>
      <c r="P385" s="54">
        <v>30474</v>
      </c>
      <c r="Q385" s="54">
        <v>27787</v>
      </c>
      <c r="R385" s="54">
        <v>24844</v>
      </c>
      <c r="S385" s="54">
        <v>21066</v>
      </c>
      <c r="T385" s="54">
        <v>19137</v>
      </c>
      <c r="U385" s="54">
        <v>17041</v>
      </c>
      <c r="V385" s="54">
        <v>15139</v>
      </c>
    </row>
    <row r="386" spans="1:22" ht="12.75">
      <c r="A386" s="18" t="s">
        <v>244</v>
      </c>
      <c r="B386" s="54">
        <v>22630</v>
      </c>
      <c r="C386" s="54">
        <v>23065</v>
      </c>
      <c r="D386" s="54">
        <v>22781</v>
      </c>
      <c r="E386" s="54">
        <v>23466</v>
      </c>
      <c r="F386" s="54">
        <v>23589</v>
      </c>
      <c r="G386" s="57" t="s">
        <v>242</v>
      </c>
      <c r="H386" s="57" t="s">
        <v>242</v>
      </c>
      <c r="I386" s="57" t="s">
        <v>242</v>
      </c>
      <c r="J386" s="57" t="s">
        <v>242</v>
      </c>
      <c r="K386" s="57" t="s">
        <v>242</v>
      </c>
      <c r="L386" s="9">
        <v>27266</v>
      </c>
      <c r="M386" s="9">
        <v>27851</v>
      </c>
      <c r="N386" s="9">
        <v>28618</v>
      </c>
      <c r="O386" s="9">
        <v>28223</v>
      </c>
      <c r="P386" s="9">
        <v>27533</v>
      </c>
      <c r="Q386" s="9">
        <v>28612</v>
      </c>
      <c r="R386" s="9">
        <v>28154</v>
      </c>
      <c r="S386" s="9">
        <v>28766</v>
      </c>
      <c r="T386" s="9">
        <v>28673</v>
      </c>
      <c r="U386" s="9">
        <v>28973</v>
      </c>
      <c r="V386" s="9">
        <v>26544</v>
      </c>
    </row>
    <row r="387" spans="1:22" ht="12.75">
      <c r="A387" s="18" t="s">
        <v>245</v>
      </c>
      <c r="B387" s="54">
        <v>12628</v>
      </c>
      <c r="C387" s="54">
        <v>14362</v>
      </c>
      <c r="D387" s="54">
        <v>15536</v>
      </c>
      <c r="E387" s="54">
        <v>17024</v>
      </c>
      <c r="F387" s="54">
        <v>18075</v>
      </c>
      <c r="G387" s="57" t="s">
        <v>242</v>
      </c>
      <c r="H387" s="57" t="s">
        <v>242</v>
      </c>
      <c r="I387" s="57" t="s">
        <v>242</v>
      </c>
      <c r="J387" s="57" t="s">
        <v>242</v>
      </c>
      <c r="K387" s="57" t="s">
        <v>242</v>
      </c>
      <c r="L387" s="9">
        <v>32119</v>
      </c>
      <c r="M387" s="9">
        <v>36223</v>
      </c>
      <c r="N387" s="9">
        <v>40808</v>
      </c>
      <c r="O387" s="9">
        <v>42610</v>
      </c>
      <c r="P387" s="9">
        <v>45515</v>
      </c>
      <c r="Q387" s="9">
        <v>50004</v>
      </c>
      <c r="R387" s="9">
        <v>56193</v>
      </c>
      <c r="S387" s="9">
        <v>62460</v>
      </c>
      <c r="T387" s="9">
        <v>68228</v>
      </c>
      <c r="U387" s="9">
        <v>71197</v>
      </c>
      <c r="V387" s="9">
        <v>78849</v>
      </c>
    </row>
    <row r="388" spans="10:11" ht="12.75">
      <c r="J388" s="52"/>
      <c r="K388" s="56" t="s">
        <v>321</v>
      </c>
    </row>
    <row r="389" spans="1:41" ht="12.75">
      <c r="A389" s="5" t="s">
        <v>240</v>
      </c>
      <c r="B389" s="14" t="s">
        <v>242</v>
      </c>
      <c r="C389" s="14" t="s">
        <v>242</v>
      </c>
      <c r="D389" s="14" t="s">
        <v>242</v>
      </c>
      <c r="E389" s="14" t="s">
        <v>242</v>
      </c>
      <c r="F389" s="14" t="s">
        <v>242</v>
      </c>
      <c r="G389" s="14" t="s">
        <v>242</v>
      </c>
      <c r="H389" s="14" t="s">
        <v>242</v>
      </c>
      <c r="I389" s="14" t="s">
        <v>242</v>
      </c>
      <c r="J389" s="14" t="s">
        <v>242</v>
      </c>
      <c r="K389" s="14" t="s">
        <v>242</v>
      </c>
      <c r="L389" s="9">
        <v>1559</v>
      </c>
      <c r="M389" s="9">
        <v>1224</v>
      </c>
      <c r="N389" s="9">
        <v>3161</v>
      </c>
      <c r="O389" s="9">
        <v>2874</v>
      </c>
      <c r="P389" s="9">
        <v>1901</v>
      </c>
      <c r="Q389" s="9">
        <v>2022</v>
      </c>
      <c r="R389" s="9">
        <v>1796</v>
      </c>
      <c r="S389" s="9">
        <v>2052</v>
      </c>
      <c r="T389" s="9">
        <v>2126</v>
      </c>
      <c r="U389" s="9">
        <v>1970</v>
      </c>
      <c r="V389" s="9">
        <v>2021</v>
      </c>
      <c r="AN389" s="9"/>
      <c r="AO389" s="9"/>
    </row>
    <row r="390" spans="1:41" ht="12.75">
      <c r="A390" s="2" t="s">
        <v>53</v>
      </c>
      <c r="B390" s="14" t="s">
        <v>242</v>
      </c>
      <c r="C390" s="14" t="s">
        <v>242</v>
      </c>
      <c r="D390" s="14" t="s">
        <v>242</v>
      </c>
      <c r="E390" s="14" t="s">
        <v>242</v>
      </c>
      <c r="F390" s="14" t="s">
        <v>242</v>
      </c>
      <c r="G390" s="14" t="s">
        <v>242</v>
      </c>
      <c r="H390" s="14" t="s">
        <v>242</v>
      </c>
      <c r="I390" s="14" t="s">
        <v>242</v>
      </c>
      <c r="J390" s="14" t="s">
        <v>242</v>
      </c>
      <c r="K390" s="14" t="s">
        <v>242</v>
      </c>
      <c r="L390" s="9">
        <v>660</v>
      </c>
      <c r="M390" s="9">
        <v>574</v>
      </c>
      <c r="N390" s="9">
        <v>2529</v>
      </c>
      <c r="O390" s="9">
        <v>2278</v>
      </c>
      <c r="P390" s="9">
        <v>1379</v>
      </c>
      <c r="Q390" s="9">
        <v>1459</v>
      </c>
      <c r="R390" s="9">
        <v>1169</v>
      </c>
      <c r="S390" s="9">
        <v>1436</v>
      </c>
      <c r="T390" s="9">
        <v>1376</v>
      </c>
      <c r="U390" s="9">
        <v>1355</v>
      </c>
      <c r="V390" s="9">
        <v>1297</v>
      </c>
      <c r="AN390" s="9"/>
      <c r="AO390" s="9"/>
    </row>
    <row r="391" spans="1:41" ht="12.75">
      <c r="A391" s="2" t="s">
        <v>54</v>
      </c>
      <c r="B391" s="14" t="s">
        <v>242</v>
      </c>
      <c r="C391" s="14" t="s">
        <v>242</v>
      </c>
      <c r="D391" s="14" t="s">
        <v>242</v>
      </c>
      <c r="E391" s="14" t="s">
        <v>242</v>
      </c>
      <c r="F391" s="14" t="s">
        <v>242</v>
      </c>
      <c r="G391" s="14" t="s">
        <v>242</v>
      </c>
      <c r="H391" s="14" t="s">
        <v>242</v>
      </c>
      <c r="I391" s="14" t="s">
        <v>242</v>
      </c>
      <c r="J391" s="14" t="s">
        <v>242</v>
      </c>
      <c r="K391" s="14" t="s">
        <v>242</v>
      </c>
      <c r="L391" s="9">
        <v>474</v>
      </c>
      <c r="M391" s="9">
        <v>340</v>
      </c>
      <c r="N391" s="9">
        <v>391</v>
      </c>
      <c r="O391" s="9">
        <v>341</v>
      </c>
      <c r="P391" s="9">
        <v>287</v>
      </c>
      <c r="Q391" s="9">
        <v>361</v>
      </c>
      <c r="R391" s="9">
        <v>469</v>
      </c>
      <c r="S391" s="9">
        <v>490</v>
      </c>
      <c r="T391" s="9">
        <v>614</v>
      </c>
      <c r="U391" s="9">
        <v>495</v>
      </c>
      <c r="V391" s="9">
        <v>642</v>
      </c>
      <c r="AN391" s="9"/>
      <c r="AO391" s="9"/>
    </row>
    <row r="392" spans="1:41" ht="12.75">
      <c r="A392" s="2" t="s">
        <v>55</v>
      </c>
      <c r="B392" s="14" t="s">
        <v>242</v>
      </c>
      <c r="C392" s="14" t="s">
        <v>242</v>
      </c>
      <c r="D392" s="14" t="s">
        <v>242</v>
      </c>
      <c r="E392" s="14" t="s">
        <v>242</v>
      </c>
      <c r="F392" s="14" t="s">
        <v>242</v>
      </c>
      <c r="G392" s="14" t="s">
        <v>242</v>
      </c>
      <c r="H392" s="14" t="s">
        <v>242</v>
      </c>
      <c r="I392" s="14" t="s">
        <v>242</v>
      </c>
      <c r="J392" s="14" t="s">
        <v>242</v>
      </c>
      <c r="K392" s="14" t="s">
        <v>242</v>
      </c>
      <c r="L392" s="9">
        <v>82</v>
      </c>
      <c r="M392" s="9">
        <v>94</v>
      </c>
      <c r="N392" s="9">
        <v>87</v>
      </c>
      <c r="O392" s="9">
        <v>67</v>
      </c>
      <c r="P392" s="9">
        <v>70</v>
      </c>
      <c r="Q392" s="9">
        <v>61</v>
      </c>
      <c r="R392" s="9">
        <v>105</v>
      </c>
      <c r="S392" s="9">
        <v>104</v>
      </c>
      <c r="T392" s="9">
        <v>79</v>
      </c>
      <c r="U392" s="9">
        <v>93</v>
      </c>
      <c r="V392" s="9">
        <v>72</v>
      </c>
      <c r="AN392" s="9"/>
      <c r="AO392" s="9"/>
    </row>
    <row r="393" spans="1:41" ht="12.75">
      <c r="A393" s="2" t="s">
        <v>56</v>
      </c>
      <c r="B393" s="14" t="s">
        <v>242</v>
      </c>
      <c r="C393" s="14" t="s">
        <v>242</v>
      </c>
      <c r="D393" s="14" t="s">
        <v>242</v>
      </c>
      <c r="E393" s="14" t="s">
        <v>242</v>
      </c>
      <c r="F393" s="14" t="s">
        <v>242</v>
      </c>
      <c r="G393" s="14" t="s">
        <v>242</v>
      </c>
      <c r="H393" s="14" t="s">
        <v>242</v>
      </c>
      <c r="I393" s="14" t="s">
        <v>242</v>
      </c>
      <c r="J393" s="14" t="s">
        <v>242</v>
      </c>
      <c r="K393" s="14" t="s">
        <v>242</v>
      </c>
      <c r="L393" s="9">
        <v>453</v>
      </c>
      <c r="M393" s="9">
        <v>304</v>
      </c>
      <c r="N393" s="9">
        <v>233</v>
      </c>
      <c r="O393" s="9">
        <v>249</v>
      </c>
      <c r="P393" s="9">
        <v>220</v>
      </c>
      <c r="Q393" s="9">
        <v>182</v>
      </c>
      <c r="R393" s="9">
        <v>125</v>
      </c>
      <c r="S393" s="9">
        <v>90</v>
      </c>
      <c r="T393" s="9">
        <v>111</v>
      </c>
      <c r="U393" s="9">
        <v>87</v>
      </c>
      <c r="V393" s="9">
        <v>53</v>
      </c>
      <c r="AN393" s="9"/>
      <c r="AO393" s="9"/>
    </row>
    <row r="394" spans="1:41" ht="12.75">
      <c r="A394" s="2" t="s">
        <v>57</v>
      </c>
      <c r="B394" s="14" t="s">
        <v>242</v>
      </c>
      <c r="C394" s="14" t="s">
        <v>242</v>
      </c>
      <c r="D394" s="14" t="s">
        <v>242</v>
      </c>
      <c r="E394" s="14" t="s">
        <v>242</v>
      </c>
      <c r="F394" s="14" t="s">
        <v>242</v>
      </c>
      <c r="G394" s="14" t="s">
        <v>242</v>
      </c>
      <c r="H394" s="14" t="s">
        <v>242</v>
      </c>
      <c r="I394" s="14" t="s">
        <v>242</v>
      </c>
      <c r="J394" s="14" t="s">
        <v>242</v>
      </c>
      <c r="K394" s="14" t="s">
        <v>242</v>
      </c>
      <c r="L394" s="9">
        <v>13</v>
      </c>
      <c r="M394" s="9">
        <v>3</v>
      </c>
      <c r="N394" s="9">
        <v>0</v>
      </c>
      <c r="O394" s="9">
        <v>3</v>
      </c>
      <c r="P394" s="9">
        <v>6</v>
      </c>
      <c r="Q394" s="9">
        <v>6</v>
      </c>
      <c r="R394" s="9">
        <v>4</v>
      </c>
      <c r="S394" s="9">
        <v>7</v>
      </c>
      <c r="T394" s="9">
        <v>7</v>
      </c>
      <c r="U394" s="9">
        <v>7</v>
      </c>
      <c r="V394" s="9">
        <v>0</v>
      </c>
      <c r="AN394" s="9"/>
      <c r="AO394" s="9"/>
    </row>
    <row r="395" spans="1:41" ht="12.75">
      <c r="A395" s="2"/>
      <c r="R395" s="10"/>
      <c r="S395" s="10"/>
      <c r="T395" s="10"/>
      <c r="U395" s="10"/>
      <c r="V395" s="10"/>
      <c r="AN395" s="9"/>
      <c r="AO395" s="9"/>
    </row>
    <row r="396" spans="1:41" ht="12.75">
      <c r="A396" s="5" t="s">
        <v>241</v>
      </c>
      <c r="B396" s="14" t="s">
        <v>242</v>
      </c>
      <c r="C396" s="14" t="s">
        <v>242</v>
      </c>
      <c r="D396" s="14" t="s">
        <v>242</v>
      </c>
      <c r="E396" s="14" t="s">
        <v>242</v>
      </c>
      <c r="F396" s="14" t="s">
        <v>242</v>
      </c>
      <c r="G396" s="14" t="s">
        <v>242</v>
      </c>
      <c r="H396" s="14" t="s">
        <v>242</v>
      </c>
      <c r="I396" s="14" t="s">
        <v>242</v>
      </c>
      <c r="J396" s="14" t="s">
        <v>242</v>
      </c>
      <c r="K396" s="14" t="s">
        <v>242</v>
      </c>
      <c r="L396" s="9">
        <v>5814</v>
      </c>
      <c r="M396" s="9">
        <v>5184</v>
      </c>
      <c r="N396" s="9">
        <v>4442</v>
      </c>
      <c r="O396" s="9">
        <v>4531</v>
      </c>
      <c r="P396" s="9">
        <v>4225</v>
      </c>
      <c r="Q396" s="9">
        <v>4348</v>
      </c>
      <c r="R396" s="9">
        <v>5191</v>
      </c>
      <c r="S396" s="9">
        <v>4826</v>
      </c>
      <c r="T396" s="9">
        <v>4537</v>
      </c>
      <c r="U396" s="9">
        <v>4320</v>
      </c>
      <c r="V396" s="9">
        <v>4175</v>
      </c>
      <c r="AN396" s="9"/>
      <c r="AO396" s="9"/>
    </row>
    <row r="397" spans="1:41" ht="12.75">
      <c r="A397" s="2" t="s">
        <v>53</v>
      </c>
      <c r="B397" s="14" t="s">
        <v>242</v>
      </c>
      <c r="C397" s="14" t="s">
        <v>242</v>
      </c>
      <c r="D397" s="14" t="s">
        <v>242</v>
      </c>
      <c r="E397" s="14" t="s">
        <v>242</v>
      </c>
      <c r="F397" s="14" t="s">
        <v>242</v>
      </c>
      <c r="G397" s="14" t="s">
        <v>242</v>
      </c>
      <c r="H397" s="14" t="s">
        <v>242</v>
      </c>
      <c r="I397" s="14" t="s">
        <v>242</v>
      </c>
      <c r="J397" s="14" t="s">
        <v>242</v>
      </c>
      <c r="K397" s="14" t="s">
        <v>242</v>
      </c>
      <c r="L397" s="9">
        <v>274</v>
      </c>
      <c r="M397" s="9">
        <v>331</v>
      </c>
      <c r="N397" s="9">
        <v>258</v>
      </c>
      <c r="O397" s="9">
        <v>295</v>
      </c>
      <c r="P397" s="9">
        <v>287</v>
      </c>
      <c r="Q397" s="9">
        <v>276</v>
      </c>
      <c r="R397" s="9">
        <v>304</v>
      </c>
      <c r="S397" s="9">
        <v>219</v>
      </c>
      <c r="T397" s="9">
        <v>261</v>
      </c>
      <c r="U397" s="9">
        <v>195</v>
      </c>
      <c r="V397" s="9">
        <v>155</v>
      </c>
      <c r="AN397" s="9"/>
      <c r="AO397" s="9"/>
    </row>
    <row r="398" spans="1:41" ht="12.75">
      <c r="A398" s="2" t="s">
        <v>54</v>
      </c>
      <c r="B398" s="14" t="s">
        <v>242</v>
      </c>
      <c r="C398" s="14" t="s">
        <v>242</v>
      </c>
      <c r="D398" s="14" t="s">
        <v>242</v>
      </c>
      <c r="E398" s="14" t="s">
        <v>242</v>
      </c>
      <c r="F398" s="14" t="s">
        <v>242</v>
      </c>
      <c r="G398" s="14" t="s">
        <v>242</v>
      </c>
      <c r="H398" s="14" t="s">
        <v>242</v>
      </c>
      <c r="I398" s="14" t="s">
        <v>242</v>
      </c>
      <c r="J398" s="14" t="s">
        <v>242</v>
      </c>
      <c r="K398" s="14" t="s">
        <v>242</v>
      </c>
      <c r="L398" s="9">
        <v>2485</v>
      </c>
      <c r="M398" s="9">
        <v>2257</v>
      </c>
      <c r="N398" s="9">
        <v>1912</v>
      </c>
      <c r="O398" s="9">
        <v>1977</v>
      </c>
      <c r="P398" s="9">
        <v>1528</v>
      </c>
      <c r="Q398" s="9">
        <v>1579</v>
      </c>
      <c r="R398" s="9">
        <v>1684</v>
      </c>
      <c r="S398" s="9">
        <v>1728</v>
      </c>
      <c r="T398" s="9">
        <v>1513</v>
      </c>
      <c r="U398" s="9">
        <v>1447</v>
      </c>
      <c r="V398" s="9">
        <v>1273</v>
      </c>
      <c r="AN398" s="9"/>
      <c r="AO398" s="9"/>
    </row>
    <row r="399" spans="1:41" ht="12.75">
      <c r="A399" s="2" t="s">
        <v>56</v>
      </c>
      <c r="B399" s="14" t="s">
        <v>242</v>
      </c>
      <c r="C399" s="14" t="s">
        <v>242</v>
      </c>
      <c r="D399" s="14" t="s">
        <v>242</v>
      </c>
      <c r="E399" s="14" t="s">
        <v>242</v>
      </c>
      <c r="F399" s="14" t="s">
        <v>242</v>
      </c>
      <c r="G399" s="14" t="s">
        <v>242</v>
      </c>
      <c r="H399" s="14" t="s">
        <v>242</v>
      </c>
      <c r="I399" s="14" t="s">
        <v>242</v>
      </c>
      <c r="J399" s="14" t="s">
        <v>242</v>
      </c>
      <c r="K399" s="14" t="s">
        <v>242</v>
      </c>
      <c r="L399" s="9">
        <v>2585</v>
      </c>
      <c r="M399" s="9">
        <v>2253</v>
      </c>
      <c r="N399" s="9">
        <v>1855</v>
      </c>
      <c r="O399" s="9">
        <v>1914</v>
      </c>
      <c r="P399" s="9">
        <v>1880</v>
      </c>
      <c r="Q399" s="9">
        <v>1887</v>
      </c>
      <c r="R399" s="9">
        <v>1414</v>
      </c>
      <c r="S399" s="9">
        <v>1478</v>
      </c>
      <c r="T399" s="9">
        <v>1454</v>
      </c>
      <c r="U399" s="9">
        <v>1303</v>
      </c>
      <c r="V399" s="9">
        <v>1213</v>
      </c>
      <c r="AN399" s="9"/>
      <c r="AO399" s="9"/>
    </row>
    <row r="400" spans="1:41" ht="12.75">
      <c r="A400" s="2" t="s">
        <v>57</v>
      </c>
      <c r="B400" s="14" t="s">
        <v>242</v>
      </c>
      <c r="C400" s="14" t="s">
        <v>242</v>
      </c>
      <c r="D400" s="14" t="s">
        <v>242</v>
      </c>
      <c r="E400" s="14" t="s">
        <v>242</v>
      </c>
      <c r="F400" s="14" t="s">
        <v>242</v>
      </c>
      <c r="G400" s="14" t="s">
        <v>242</v>
      </c>
      <c r="H400" s="14" t="s">
        <v>242</v>
      </c>
      <c r="I400" s="14" t="s">
        <v>242</v>
      </c>
      <c r="J400" s="14" t="s">
        <v>242</v>
      </c>
      <c r="K400" s="14" t="s">
        <v>242</v>
      </c>
      <c r="L400" s="9">
        <v>88</v>
      </c>
      <c r="M400" s="9">
        <v>34</v>
      </c>
      <c r="N400" s="9">
        <v>62</v>
      </c>
      <c r="O400" s="9">
        <v>47</v>
      </c>
      <c r="P400" s="9">
        <v>48</v>
      </c>
      <c r="Q400" s="9">
        <v>36</v>
      </c>
      <c r="R400" s="9">
        <v>89</v>
      </c>
      <c r="S400" s="9">
        <v>125</v>
      </c>
      <c r="T400" s="9">
        <v>98</v>
      </c>
      <c r="U400" s="9">
        <v>148</v>
      </c>
      <c r="V400" s="9">
        <v>118</v>
      </c>
      <c r="AN400" s="9"/>
      <c r="AO400" s="9"/>
    </row>
    <row r="401" spans="1:41" ht="12.75">
      <c r="A401" s="2" t="s">
        <v>58</v>
      </c>
      <c r="B401" s="14" t="s">
        <v>242</v>
      </c>
      <c r="C401" s="14" t="s">
        <v>242</v>
      </c>
      <c r="D401" s="14" t="s">
        <v>242</v>
      </c>
      <c r="E401" s="14" t="s">
        <v>242</v>
      </c>
      <c r="F401" s="14" t="s">
        <v>242</v>
      </c>
      <c r="G401" s="14" t="s">
        <v>242</v>
      </c>
      <c r="H401" s="14" t="s">
        <v>242</v>
      </c>
      <c r="I401" s="14" t="s">
        <v>242</v>
      </c>
      <c r="J401" s="14" t="s">
        <v>242</v>
      </c>
      <c r="K401" s="14" t="s">
        <v>242</v>
      </c>
      <c r="L401" s="9">
        <v>860</v>
      </c>
      <c r="M401" s="9">
        <v>749</v>
      </c>
      <c r="N401" s="9">
        <v>658</v>
      </c>
      <c r="O401" s="9">
        <v>560</v>
      </c>
      <c r="P401" s="9">
        <v>737</v>
      </c>
      <c r="Q401" s="9">
        <v>794</v>
      </c>
      <c r="R401" s="9">
        <v>1959</v>
      </c>
      <c r="S401" s="9">
        <v>1512</v>
      </c>
      <c r="T401" s="9">
        <v>1443</v>
      </c>
      <c r="U401" s="9">
        <v>1410</v>
      </c>
      <c r="V401" s="9">
        <v>1544</v>
      </c>
      <c r="AN401" s="9"/>
      <c r="AO401" s="9"/>
    </row>
    <row r="402" spans="13:41" ht="12.75">
      <c r="M402" s="1"/>
      <c r="AN402" s="9"/>
      <c r="AO402" s="9"/>
    </row>
    <row r="403" spans="1:41" ht="12.75">
      <c r="A403" s="18" t="s">
        <v>274</v>
      </c>
      <c r="F403" s="1"/>
      <c r="AN403" s="9"/>
      <c r="AO403" s="9"/>
    </row>
    <row r="404" spans="1:41" ht="12.75">
      <c r="A404" s="18"/>
      <c r="AN404" s="9"/>
      <c r="AO404" s="9"/>
    </row>
    <row r="405" spans="1:41" ht="12.75">
      <c r="A405" s="18" t="s">
        <v>33</v>
      </c>
      <c r="M405" s="9">
        <v>14523</v>
      </c>
      <c r="N405" s="9">
        <v>12904</v>
      </c>
      <c r="O405" s="9">
        <v>15764</v>
      </c>
      <c r="P405" s="9">
        <v>16853</v>
      </c>
      <c r="Q405" s="9">
        <v>17367</v>
      </c>
      <c r="AN405" s="9"/>
      <c r="AO405" s="9"/>
    </row>
    <row r="406" spans="1:41" ht="12.75">
      <c r="A406" s="18" t="s">
        <v>275</v>
      </c>
      <c r="B406" s="9">
        <v>8544</v>
      </c>
      <c r="C406" s="9">
        <v>10308</v>
      </c>
      <c r="D406" s="9">
        <v>10413</v>
      </c>
      <c r="E406" s="9">
        <v>11343</v>
      </c>
      <c r="F406" s="52">
        <v>9930</v>
      </c>
      <c r="G406" s="50" t="s">
        <v>242</v>
      </c>
      <c r="H406" s="52">
        <v>9249</v>
      </c>
      <c r="I406" s="50" t="s">
        <v>242</v>
      </c>
      <c r="J406" s="52">
        <v>8794</v>
      </c>
      <c r="K406" s="52">
        <v>8738</v>
      </c>
      <c r="L406" s="9">
        <v>24882</v>
      </c>
      <c r="M406" s="9">
        <v>7187</v>
      </c>
      <c r="N406" s="9">
        <v>6205</v>
      </c>
      <c r="O406" s="9">
        <v>6364</v>
      </c>
      <c r="P406" s="9">
        <v>6445</v>
      </c>
      <c r="Q406" s="9">
        <v>6417</v>
      </c>
      <c r="R406" s="9">
        <v>9437</v>
      </c>
      <c r="S406" s="9">
        <v>9063</v>
      </c>
      <c r="T406" s="9">
        <v>9746</v>
      </c>
      <c r="U406" s="9">
        <v>9313</v>
      </c>
      <c r="V406" s="9">
        <v>9335</v>
      </c>
      <c r="AN406" s="9"/>
      <c r="AO406" s="9"/>
    </row>
    <row r="407" spans="1:41" ht="12.75">
      <c r="A407" s="18" t="s">
        <v>99</v>
      </c>
      <c r="B407" s="9">
        <v>152</v>
      </c>
      <c r="C407" s="9">
        <v>199</v>
      </c>
      <c r="D407" s="9">
        <v>280</v>
      </c>
      <c r="E407" s="9">
        <v>207</v>
      </c>
      <c r="F407" s="52">
        <v>320</v>
      </c>
      <c r="G407" s="50" t="s">
        <v>242</v>
      </c>
      <c r="H407" s="52">
        <v>285</v>
      </c>
      <c r="I407" s="50" t="s">
        <v>242</v>
      </c>
      <c r="J407" s="52">
        <v>367</v>
      </c>
      <c r="K407" s="52">
        <v>420</v>
      </c>
      <c r="L407" s="9">
        <v>641</v>
      </c>
      <c r="M407" s="9">
        <v>2532</v>
      </c>
      <c r="N407" s="44">
        <v>5957</v>
      </c>
      <c r="O407" s="9">
        <v>2484</v>
      </c>
      <c r="P407" s="9">
        <v>1487</v>
      </c>
      <c r="Q407" s="9">
        <v>1384</v>
      </c>
      <c r="R407" s="9">
        <v>2239</v>
      </c>
      <c r="S407" s="9">
        <v>2949</v>
      </c>
      <c r="T407" s="9">
        <v>2321</v>
      </c>
      <c r="U407" s="9">
        <v>2700</v>
      </c>
      <c r="V407" s="9">
        <v>2552</v>
      </c>
      <c r="AN407" s="9"/>
      <c r="AO407" s="9"/>
    </row>
    <row r="408" spans="1:41" ht="12.75">
      <c r="A408" s="18"/>
      <c r="F408" s="52"/>
      <c r="G408" s="50"/>
      <c r="H408" s="52"/>
      <c r="I408" s="50"/>
      <c r="J408" s="52"/>
      <c r="K408" s="52"/>
      <c r="M408" s="48"/>
      <c r="N408" s="48"/>
      <c r="O408" s="48"/>
      <c r="P408" s="48"/>
      <c r="Q408" s="48" t="s">
        <v>301</v>
      </c>
      <c r="AN408" s="9"/>
      <c r="AO408" s="9"/>
    </row>
    <row r="409" spans="1:41" ht="12.75">
      <c r="A409" s="18" t="s">
        <v>386</v>
      </c>
      <c r="F409" s="52"/>
      <c r="G409" s="50"/>
      <c r="H409" s="52"/>
      <c r="I409" s="50"/>
      <c r="J409" s="52"/>
      <c r="K409" s="52"/>
      <c r="M409" s="1">
        <v>14890</v>
      </c>
      <c r="N409" s="1">
        <v>13628</v>
      </c>
      <c r="O409" s="1">
        <v>18506</v>
      </c>
      <c r="P409" s="1">
        <v>17379</v>
      </c>
      <c r="Q409" s="1">
        <v>17909</v>
      </c>
      <c r="AN409" s="9"/>
      <c r="AO409" s="9"/>
    </row>
    <row r="410" spans="1:41" ht="12.75">
      <c r="A410" s="18" t="s">
        <v>276</v>
      </c>
      <c r="B410" s="9">
        <v>9782</v>
      </c>
      <c r="C410" s="9">
        <v>13741</v>
      </c>
      <c r="D410" s="9">
        <v>12378</v>
      </c>
      <c r="E410" s="9">
        <v>12960</v>
      </c>
      <c r="F410" s="52">
        <v>10398</v>
      </c>
      <c r="G410" s="50" t="s">
        <v>242</v>
      </c>
      <c r="H410" s="52">
        <v>10615</v>
      </c>
      <c r="I410" s="50" t="s">
        <v>242</v>
      </c>
      <c r="J410" s="52">
        <v>8923</v>
      </c>
      <c r="K410" s="52">
        <v>9294</v>
      </c>
      <c r="L410" s="9">
        <v>30760</v>
      </c>
      <c r="M410" s="9">
        <v>6454</v>
      </c>
      <c r="N410" s="9">
        <v>5141</v>
      </c>
      <c r="O410" s="9">
        <v>5281</v>
      </c>
      <c r="P410" s="9">
        <v>5452</v>
      </c>
      <c r="Q410" s="9">
        <v>5559</v>
      </c>
      <c r="R410" s="9">
        <v>32921</v>
      </c>
      <c r="S410" s="9">
        <v>33046</v>
      </c>
      <c r="T410" s="9">
        <v>36504</v>
      </c>
      <c r="U410" s="9">
        <v>37907</v>
      </c>
      <c r="V410" s="9">
        <v>39286</v>
      </c>
      <c r="AN410" s="9"/>
      <c r="AO410" s="9"/>
    </row>
    <row r="411" spans="1:41" ht="12.75">
      <c r="A411" s="18" t="s">
        <v>302</v>
      </c>
      <c r="B411" s="9">
        <v>152</v>
      </c>
      <c r="C411" s="9">
        <v>199</v>
      </c>
      <c r="D411" s="9">
        <v>280</v>
      </c>
      <c r="E411" s="9">
        <v>207</v>
      </c>
      <c r="F411" s="52">
        <v>309</v>
      </c>
      <c r="G411" s="50" t="s">
        <v>242</v>
      </c>
      <c r="H411" s="52">
        <v>301</v>
      </c>
      <c r="I411" s="50" t="s">
        <v>242</v>
      </c>
      <c r="J411" s="52">
        <v>363</v>
      </c>
      <c r="K411" s="52">
        <v>365</v>
      </c>
      <c r="L411" s="9">
        <v>2564</v>
      </c>
      <c r="M411" s="9">
        <v>2898</v>
      </c>
      <c r="N411" s="44">
        <v>6297</v>
      </c>
      <c r="O411" s="9">
        <v>2824</v>
      </c>
      <c r="P411" s="9">
        <v>1953</v>
      </c>
      <c r="Q411" s="9">
        <v>1700</v>
      </c>
      <c r="R411" s="9">
        <v>3569</v>
      </c>
      <c r="S411" s="9">
        <v>4541</v>
      </c>
      <c r="T411" s="9">
        <v>3818</v>
      </c>
      <c r="U411" s="9">
        <v>4469</v>
      </c>
      <c r="V411" s="9">
        <v>3973</v>
      </c>
      <c r="AN411" s="9"/>
      <c r="AO411" s="9"/>
    </row>
    <row r="412" spans="1:41" ht="12.75">
      <c r="A412" s="18"/>
      <c r="F412" s="52"/>
      <c r="G412" s="50"/>
      <c r="H412" s="52"/>
      <c r="I412" s="50"/>
      <c r="J412" s="52"/>
      <c r="K412" s="52"/>
      <c r="M412" s="48"/>
      <c r="N412" s="48"/>
      <c r="O412" s="48"/>
      <c r="P412" s="48"/>
      <c r="Q412" s="48" t="s">
        <v>301</v>
      </c>
      <c r="AN412" s="9"/>
      <c r="AO412" s="9"/>
    </row>
    <row r="413" spans="1:41" ht="12.75">
      <c r="A413" s="18" t="s">
        <v>277</v>
      </c>
      <c r="B413" s="9">
        <v>8040</v>
      </c>
      <c r="C413" s="9">
        <v>7240</v>
      </c>
      <c r="D413" s="9">
        <v>6412</v>
      </c>
      <c r="E413" s="9">
        <v>7000</v>
      </c>
      <c r="F413" s="52">
        <v>5011</v>
      </c>
      <c r="G413" s="50" t="s">
        <v>242</v>
      </c>
      <c r="H413" s="52">
        <v>4762</v>
      </c>
      <c r="I413" s="50" t="s">
        <v>242</v>
      </c>
      <c r="J413" s="52">
        <v>4270</v>
      </c>
      <c r="K413" s="52">
        <v>4674</v>
      </c>
      <c r="L413" s="14" t="s">
        <v>242</v>
      </c>
      <c r="M413" s="14" t="s">
        <v>242</v>
      </c>
      <c r="N413" s="14" t="s">
        <v>242</v>
      </c>
      <c r="O413" s="14" t="s">
        <v>242</v>
      </c>
      <c r="P413" s="14" t="s">
        <v>242</v>
      </c>
      <c r="Q413" s="14" t="s">
        <v>242</v>
      </c>
      <c r="R413" s="9">
        <v>6838</v>
      </c>
      <c r="S413" s="9">
        <v>6343</v>
      </c>
      <c r="T413" s="9">
        <v>6462</v>
      </c>
      <c r="U413" s="9">
        <v>5625</v>
      </c>
      <c r="V413" s="9">
        <v>5991</v>
      </c>
      <c r="AN413" s="9"/>
      <c r="AO413" s="9"/>
    </row>
    <row r="414" spans="1:41" ht="12.75">
      <c r="A414" s="18" t="s">
        <v>306</v>
      </c>
      <c r="B414" s="9">
        <v>152</v>
      </c>
      <c r="C414" s="9">
        <v>199</v>
      </c>
      <c r="D414" s="9">
        <v>280</v>
      </c>
      <c r="E414" s="9">
        <v>207</v>
      </c>
      <c r="F414" s="52">
        <v>291</v>
      </c>
      <c r="G414" s="50" t="s">
        <v>242</v>
      </c>
      <c r="H414" s="52">
        <v>260</v>
      </c>
      <c r="I414" s="50" t="s">
        <v>242</v>
      </c>
      <c r="J414" s="52">
        <v>386</v>
      </c>
      <c r="K414" s="52">
        <v>407</v>
      </c>
      <c r="R414" s="9">
        <v>953</v>
      </c>
      <c r="S414" s="9">
        <v>1522</v>
      </c>
      <c r="T414" s="9">
        <v>1305</v>
      </c>
      <c r="U414" s="9">
        <v>1739</v>
      </c>
      <c r="V414" s="9">
        <v>1194</v>
      </c>
      <c r="AN414" s="9"/>
      <c r="AO414" s="9"/>
    </row>
    <row r="415" spans="1:41" ht="12.75">
      <c r="A415" s="18"/>
      <c r="F415" s="52"/>
      <c r="G415" s="50"/>
      <c r="H415" s="52"/>
      <c r="I415" s="50"/>
      <c r="J415" s="52"/>
      <c r="K415" s="52"/>
      <c r="AN415" s="9"/>
      <c r="AO415" s="9"/>
    </row>
    <row r="416" spans="1:41" ht="12.75">
      <c r="A416" s="18" t="s">
        <v>33</v>
      </c>
      <c r="F416" s="52"/>
      <c r="G416" s="50"/>
      <c r="H416" s="52"/>
      <c r="I416" s="50"/>
      <c r="J416" s="52"/>
      <c r="K416" s="52"/>
      <c r="M416" s="9">
        <v>19862</v>
      </c>
      <c r="N416" s="9">
        <v>17449</v>
      </c>
      <c r="O416" s="9">
        <v>20373</v>
      </c>
      <c r="P416" s="9">
        <v>21228</v>
      </c>
      <c r="Q416" s="9">
        <v>22065</v>
      </c>
      <c r="AN416" s="9"/>
      <c r="AO416" s="9"/>
    </row>
    <row r="417" spans="1:41" ht="12.75">
      <c r="A417" s="18" t="s">
        <v>299</v>
      </c>
      <c r="B417" s="9">
        <v>4018</v>
      </c>
      <c r="C417" s="9">
        <v>4834</v>
      </c>
      <c r="D417" s="9">
        <v>4962</v>
      </c>
      <c r="E417" s="9">
        <v>5237</v>
      </c>
      <c r="F417" s="52">
        <v>2832</v>
      </c>
      <c r="G417" s="50" t="s">
        <v>242</v>
      </c>
      <c r="H417" s="52">
        <v>2426</v>
      </c>
      <c r="I417" s="50" t="s">
        <v>242</v>
      </c>
      <c r="J417" s="52">
        <v>2375</v>
      </c>
      <c r="K417" s="52">
        <v>2502</v>
      </c>
      <c r="L417" s="9">
        <v>3213</v>
      </c>
      <c r="M417" s="9">
        <v>969</v>
      </c>
      <c r="N417" s="9">
        <v>979</v>
      </c>
      <c r="O417" s="9">
        <v>1053</v>
      </c>
      <c r="P417" s="9">
        <v>1239</v>
      </c>
      <c r="Q417" s="9">
        <v>1107</v>
      </c>
      <c r="R417" s="9">
        <v>4933</v>
      </c>
      <c r="S417" s="9">
        <v>4996</v>
      </c>
      <c r="T417" s="9">
        <v>5011</v>
      </c>
      <c r="U417" s="9">
        <v>4875</v>
      </c>
      <c r="V417" s="9">
        <v>5081</v>
      </c>
      <c r="AN417" s="9"/>
      <c r="AO417" s="9"/>
    </row>
    <row r="418" spans="1:41" ht="12.75">
      <c r="A418" s="18" t="s">
        <v>300</v>
      </c>
      <c r="B418" s="9">
        <v>152</v>
      </c>
      <c r="C418" s="9">
        <v>199</v>
      </c>
      <c r="D418" s="9">
        <v>280</v>
      </c>
      <c r="E418" s="9">
        <v>207</v>
      </c>
      <c r="F418" s="52">
        <v>272</v>
      </c>
      <c r="G418" s="50" t="s">
        <v>242</v>
      </c>
      <c r="H418" s="52">
        <v>286</v>
      </c>
      <c r="I418" s="50" t="s">
        <v>242</v>
      </c>
      <c r="J418" s="52">
        <v>392</v>
      </c>
      <c r="K418" s="52">
        <v>444</v>
      </c>
      <c r="L418" s="44">
        <v>6547</v>
      </c>
      <c r="M418" s="44">
        <v>3411</v>
      </c>
      <c r="N418" s="44">
        <v>6637</v>
      </c>
      <c r="O418" s="9">
        <v>3185</v>
      </c>
      <c r="P418" s="9">
        <v>2317</v>
      </c>
      <c r="Q418" s="9">
        <v>1996</v>
      </c>
      <c r="R418" s="9">
        <v>7669</v>
      </c>
      <c r="S418" s="9">
        <v>8725</v>
      </c>
      <c r="T418" s="9">
        <v>8812</v>
      </c>
      <c r="U418" s="9">
        <v>9152</v>
      </c>
      <c r="V418" s="9">
        <v>7958</v>
      </c>
      <c r="AN418" s="9"/>
      <c r="AO418" s="9"/>
    </row>
    <row r="419" spans="1:41" ht="12.75">
      <c r="A419" s="18"/>
      <c r="F419" s="52"/>
      <c r="G419" s="50"/>
      <c r="H419" s="52"/>
      <c r="I419" s="50"/>
      <c r="J419" s="52"/>
      <c r="K419" s="52"/>
      <c r="M419" s="48"/>
      <c r="N419" s="48"/>
      <c r="O419" s="48"/>
      <c r="P419" s="48"/>
      <c r="Q419" s="48" t="s">
        <v>301</v>
      </c>
      <c r="AN419" s="9"/>
      <c r="AO419" s="9"/>
    </row>
    <row r="420" spans="1:41" ht="12.75">
      <c r="A420" s="18" t="s">
        <v>278</v>
      </c>
      <c r="B420" s="9">
        <v>9148</v>
      </c>
      <c r="C420" s="9">
        <v>12115</v>
      </c>
      <c r="D420" s="9">
        <v>13330</v>
      </c>
      <c r="E420" s="9">
        <v>13152</v>
      </c>
      <c r="F420" s="52">
        <v>10690</v>
      </c>
      <c r="G420" s="50" t="s">
        <v>242</v>
      </c>
      <c r="H420" s="52">
        <v>10307</v>
      </c>
      <c r="I420" s="50" t="s">
        <v>242</v>
      </c>
      <c r="J420" s="52">
        <v>13019</v>
      </c>
      <c r="K420" s="52">
        <v>11573</v>
      </c>
      <c r="L420" s="9">
        <v>4046</v>
      </c>
      <c r="M420" s="9">
        <v>4218</v>
      </c>
      <c r="N420" s="9">
        <v>5843</v>
      </c>
      <c r="O420" s="9">
        <v>6701</v>
      </c>
      <c r="P420" s="9">
        <v>6828</v>
      </c>
      <c r="Q420" s="9">
        <v>6926</v>
      </c>
      <c r="R420" s="9">
        <v>10378</v>
      </c>
      <c r="S420" s="9">
        <v>8384</v>
      </c>
      <c r="T420" s="9">
        <v>9215</v>
      </c>
      <c r="U420" s="9">
        <v>9021</v>
      </c>
      <c r="V420" s="9">
        <v>9447</v>
      </c>
      <c r="AN420" s="9"/>
      <c r="AO420" s="9"/>
    </row>
    <row r="421" spans="1:41" ht="12.75">
      <c r="A421" s="18" t="s">
        <v>99</v>
      </c>
      <c r="B421" s="9">
        <v>152</v>
      </c>
      <c r="C421" s="9">
        <v>199</v>
      </c>
      <c r="D421" s="9">
        <v>280</v>
      </c>
      <c r="E421" s="9">
        <v>207</v>
      </c>
      <c r="F421" s="52">
        <v>490</v>
      </c>
      <c r="G421" s="50" t="s">
        <v>242</v>
      </c>
      <c r="H421" s="52">
        <v>458</v>
      </c>
      <c r="I421" s="50" t="s">
        <v>242</v>
      </c>
      <c r="J421" s="52">
        <v>487</v>
      </c>
      <c r="K421" s="52">
        <v>514</v>
      </c>
      <c r="L421" s="9">
        <v>293</v>
      </c>
      <c r="M421" s="9">
        <v>295</v>
      </c>
      <c r="N421" s="9">
        <v>410</v>
      </c>
      <c r="O421" s="9">
        <v>335</v>
      </c>
      <c r="P421" s="9">
        <v>188</v>
      </c>
      <c r="Q421" s="9">
        <v>468</v>
      </c>
      <c r="R421" s="9">
        <v>1468</v>
      </c>
      <c r="S421" s="9">
        <v>2087</v>
      </c>
      <c r="T421" s="9">
        <v>2082</v>
      </c>
      <c r="U421" s="9">
        <v>2476</v>
      </c>
      <c r="V421" s="9">
        <v>1939</v>
      </c>
      <c r="AN421" s="9"/>
      <c r="AO421" s="9"/>
    </row>
    <row r="422" spans="1:41" ht="12.75">
      <c r="A422" s="18"/>
      <c r="F422" s="52"/>
      <c r="G422" s="52"/>
      <c r="H422" s="52"/>
      <c r="I422" s="52"/>
      <c r="J422" s="52"/>
      <c r="K422" s="52" t="s">
        <v>327</v>
      </c>
      <c r="AN422" s="9"/>
      <c r="AO422" s="9"/>
    </row>
    <row r="423" spans="1:41" ht="12.75">
      <c r="A423" s="19" t="s">
        <v>296</v>
      </c>
      <c r="AN423" s="9"/>
      <c r="AO423" s="9"/>
    </row>
    <row r="424" spans="40:41" ht="12.75">
      <c r="AN424" s="9"/>
      <c r="AO424" s="9"/>
    </row>
    <row r="425" spans="1:41" ht="12.75">
      <c r="A425" s="18" t="s">
        <v>279</v>
      </c>
      <c r="C425" s="48"/>
      <c r="D425" s="48"/>
      <c r="E425" s="48"/>
      <c r="F425" s="48"/>
      <c r="G425" s="48"/>
      <c r="H425" s="48"/>
      <c r="I425" s="48"/>
      <c r="J425" s="48" t="s">
        <v>288</v>
      </c>
      <c r="V425" s="9" t="s">
        <v>295</v>
      </c>
      <c r="Y425" s="34">
        <v>1974</v>
      </c>
      <c r="Z425" s="34">
        <v>1975</v>
      </c>
      <c r="AA425" s="34">
        <v>1976</v>
      </c>
      <c r="AB425" s="34">
        <v>1977</v>
      </c>
      <c r="AC425" s="34">
        <v>1978</v>
      </c>
      <c r="AD425" s="34">
        <v>1979</v>
      </c>
      <c r="AE425" s="34">
        <v>1980</v>
      </c>
      <c r="AF425" s="34">
        <v>1981</v>
      </c>
      <c r="AG425" s="15">
        <v>1997</v>
      </c>
      <c r="AH425" s="15">
        <v>1999</v>
      </c>
      <c r="AI425" s="15">
        <v>2001</v>
      </c>
      <c r="AJ425" s="15">
        <v>2003</v>
      </c>
      <c r="AK425" s="15">
        <v>2005</v>
      </c>
      <c r="AN425" s="9"/>
      <c r="AO425" s="9"/>
    </row>
    <row r="426" spans="1:41" ht="12.75">
      <c r="A426" s="18" t="s">
        <v>280</v>
      </c>
      <c r="B426" s="14" t="s">
        <v>242</v>
      </c>
      <c r="C426" s="53">
        <v>19438</v>
      </c>
      <c r="D426" s="53">
        <v>15462</v>
      </c>
      <c r="E426" s="53">
        <v>15741</v>
      </c>
      <c r="F426" s="53">
        <v>16292</v>
      </c>
      <c r="G426" s="53">
        <v>16345</v>
      </c>
      <c r="H426" s="53">
        <v>16729</v>
      </c>
      <c r="I426" s="53">
        <v>16700</v>
      </c>
      <c r="J426" s="53">
        <v>17123</v>
      </c>
      <c r="K426" s="14" t="s">
        <v>242</v>
      </c>
      <c r="L426" s="14" t="s">
        <v>242</v>
      </c>
      <c r="M426" s="14" t="s">
        <v>242</v>
      </c>
      <c r="N426" s="14" t="s">
        <v>242</v>
      </c>
      <c r="O426" s="14" t="s">
        <v>242</v>
      </c>
      <c r="P426" s="14" t="s">
        <v>242</v>
      </c>
      <c r="Q426" s="14" t="s">
        <v>242</v>
      </c>
      <c r="R426" s="9">
        <v>19932</v>
      </c>
      <c r="S426" s="9">
        <v>20008</v>
      </c>
      <c r="T426" s="9">
        <v>20418</v>
      </c>
      <c r="U426" s="9">
        <v>19112</v>
      </c>
      <c r="V426" s="9">
        <v>19783</v>
      </c>
      <c r="X426" s="18" t="s">
        <v>280</v>
      </c>
      <c r="Y426" s="53">
        <f>C426</f>
        <v>19438</v>
      </c>
      <c r="Z426" s="53">
        <f aca="true" t="shared" si="69" ref="Z426:AF426">D426</f>
        <v>15462</v>
      </c>
      <c r="AA426" s="53">
        <f t="shared" si="69"/>
        <v>15741</v>
      </c>
      <c r="AB426" s="53">
        <f t="shared" si="69"/>
        <v>16292</v>
      </c>
      <c r="AC426" s="53">
        <f t="shared" si="69"/>
        <v>16345</v>
      </c>
      <c r="AD426" s="53">
        <f t="shared" si="69"/>
        <v>16729</v>
      </c>
      <c r="AE426" s="53">
        <f t="shared" si="69"/>
        <v>16700</v>
      </c>
      <c r="AF426" s="53">
        <f t="shared" si="69"/>
        <v>17123</v>
      </c>
      <c r="AG426" s="9">
        <f>R426</f>
        <v>19932</v>
      </c>
      <c r="AH426" s="9">
        <f>S426</f>
        <v>20008</v>
      </c>
      <c r="AI426" s="9">
        <f>T426</f>
        <v>20418</v>
      </c>
      <c r="AJ426" s="9">
        <f>U426</f>
        <v>19112</v>
      </c>
      <c r="AK426" s="9">
        <f>V426</f>
        <v>19783</v>
      </c>
      <c r="AN426" s="9"/>
      <c r="AO426" s="9"/>
    </row>
    <row r="427" spans="1:41" ht="12.75">
      <c r="A427" s="18" t="s">
        <v>281</v>
      </c>
      <c r="B427" s="14" t="s">
        <v>242</v>
      </c>
      <c r="C427" s="53">
        <v>15093</v>
      </c>
      <c r="D427" s="53">
        <v>14817</v>
      </c>
      <c r="E427" s="53">
        <v>15465</v>
      </c>
      <c r="F427" s="53">
        <v>15970</v>
      </c>
      <c r="G427" s="53">
        <v>16727</v>
      </c>
      <c r="H427" s="53">
        <v>16790</v>
      </c>
      <c r="I427" s="53">
        <v>16749</v>
      </c>
      <c r="J427" s="53">
        <v>17756</v>
      </c>
      <c r="K427" s="14" t="s">
        <v>242</v>
      </c>
      <c r="L427" s="14" t="s">
        <v>242</v>
      </c>
      <c r="M427" s="14" t="s">
        <v>242</v>
      </c>
      <c r="N427" s="14" t="s">
        <v>242</v>
      </c>
      <c r="O427" s="14" t="s">
        <v>242</v>
      </c>
      <c r="P427" s="14" t="s">
        <v>242</v>
      </c>
      <c r="Q427" s="14" t="s">
        <v>242</v>
      </c>
      <c r="R427" s="9">
        <v>20652</v>
      </c>
      <c r="S427" s="9">
        <v>20995</v>
      </c>
      <c r="T427" s="9">
        <v>21443</v>
      </c>
      <c r="U427" s="9">
        <v>20551</v>
      </c>
      <c r="V427" s="9">
        <v>21687</v>
      </c>
      <c r="X427" s="18" t="s">
        <v>281</v>
      </c>
      <c r="Y427" s="53">
        <f>Y426+C427</f>
        <v>34531</v>
      </c>
      <c r="Z427" s="53">
        <f aca="true" t="shared" si="70" ref="Z427:AF431">Z426+D427</f>
        <v>30279</v>
      </c>
      <c r="AA427" s="53">
        <f t="shared" si="70"/>
        <v>31206</v>
      </c>
      <c r="AB427" s="53">
        <f t="shared" si="70"/>
        <v>32262</v>
      </c>
      <c r="AC427" s="53">
        <f t="shared" si="70"/>
        <v>33072</v>
      </c>
      <c r="AD427" s="53">
        <f t="shared" si="70"/>
        <v>33519</v>
      </c>
      <c r="AE427" s="53">
        <f t="shared" si="70"/>
        <v>33449</v>
      </c>
      <c r="AF427" s="53">
        <f t="shared" si="70"/>
        <v>34879</v>
      </c>
      <c r="AG427" s="9">
        <f>AG426+R427</f>
        <v>40584</v>
      </c>
      <c r="AH427" s="9">
        <f aca="true" t="shared" si="71" ref="AH427:AK431">AH426+S427</f>
        <v>41003</v>
      </c>
      <c r="AI427" s="9">
        <f t="shared" si="71"/>
        <v>41861</v>
      </c>
      <c r="AJ427" s="9">
        <f t="shared" si="71"/>
        <v>39663</v>
      </c>
      <c r="AK427" s="9">
        <f t="shared" si="71"/>
        <v>41470</v>
      </c>
      <c r="AN427" s="9"/>
      <c r="AO427" s="9"/>
    </row>
    <row r="428" spans="1:41" ht="12.75">
      <c r="A428" s="18" t="s">
        <v>282</v>
      </c>
      <c r="B428" s="14" t="s">
        <v>242</v>
      </c>
      <c r="C428" s="53">
        <v>7846</v>
      </c>
      <c r="D428" s="53">
        <v>7101</v>
      </c>
      <c r="E428" s="53">
        <v>6909</v>
      </c>
      <c r="F428" s="53">
        <v>6955</v>
      </c>
      <c r="G428" s="53">
        <v>7339</v>
      </c>
      <c r="H428" s="53">
        <v>7380</v>
      </c>
      <c r="I428" s="53">
        <v>7151</v>
      </c>
      <c r="J428" s="53">
        <v>7573</v>
      </c>
      <c r="K428" s="14" t="s">
        <v>242</v>
      </c>
      <c r="L428" s="14" t="s">
        <v>242</v>
      </c>
      <c r="M428" s="14" t="s">
        <v>242</v>
      </c>
      <c r="N428" s="14" t="s">
        <v>242</v>
      </c>
      <c r="O428" s="14" t="s">
        <v>242</v>
      </c>
      <c r="P428" s="14" t="s">
        <v>242</v>
      </c>
      <c r="Q428" s="14" t="s">
        <v>242</v>
      </c>
      <c r="R428" s="9">
        <v>8643</v>
      </c>
      <c r="S428" s="9">
        <v>9228</v>
      </c>
      <c r="T428" s="9">
        <v>9221</v>
      </c>
      <c r="U428" s="9">
        <v>9150</v>
      </c>
      <c r="V428" s="9">
        <v>9945</v>
      </c>
      <c r="X428" s="18" t="s">
        <v>282</v>
      </c>
      <c r="Y428" s="53">
        <f>Y427+C428</f>
        <v>42377</v>
      </c>
      <c r="Z428" s="53">
        <f t="shared" si="70"/>
        <v>37380</v>
      </c>
      <c r="AA428" s="53">
        <f t="shared" si="70"/>
        <v>38115</v>
      </c>
      <c r="AB428" s="53">
        <f t="shared" si="70"/>
        <v>39217</v>
      </c>
      <c r="AC428" s="53">
        <f t="shared" si="70"/>
        <v>40411</v>
      </c>
      <c r="AD428" s="53">
        <f t="shared" si="70"/>
        <v>40899</v>
      </c>
      <c r="AE428" s="53">
        <f t="shared" si="70"/>
        <v>40600</v>
      </c>
      <c r="AF428" s="53">
        <f t="shared" si="70"/>
        <v>42452</v>
      </c>
      <c r="AG428" s="9">
        <f>AG427+R428</f>
        <v>49227</v>
      </c>
      <c r="AH428" s="9">
        <f t="shared" si="71"/>
        <v>50231</v>
      </c>
      <c r="AI428" s="9">
        <f t="shared" si="71"/>
        <v>51082</v>
      </c>
      <c r="AJ428" s="9">
        <f t="shared" si="71"/>
        <v>48813</v>
      </c>
      <c r="AK428" s="9">
        <f t="shared" si="71"/>
        <v>51415</v>
      </c>
      <c r="AN428" s="9"/>
      <c r="AO428" s="9"/>
    </row>
    <row r="429" spans="1:41" ht="12.75">
      <c r="A429" s="18" t="s">
        <v>283</v>
      </c>
      <c r="B429" s="14" t="s">
        <v>242</v>
      </c>
      <c r="C429" s="53">
        <v>2907</v>
      </c>
      <c r="D429" s="53">
        <v>2513</v>
      </c>
      <c r="E429" s="53">
        <v>2422</v>
      </c>
      <c r="F429" s="53">
        <v>2502</v>
      </c>
      <c r="G429" s="53">
        <v>2574</v>
      </c>
      <c r="H429" s="53">
        <v>2638</v>
      </c>
      <c r="I429" s="53">
        <v>2750</v>
      </c>
      <c r="J429" s="53">
        <v>2782</v>
      </c>
      <c r="K429" s="14" t="s">
        <v>242</v>
      </c>
      <c r="L429" s="14" t="s">
        <v>242</v>
      </c>
      <c r="M429" s="14" t="s">
        <v>242</v>
      </c>
      <c r="N429" s="14" t="s">
        <v>242</v>
      </c>
      <c r="O429" s="14" t="s">
        <v>242</v>
      </c>
      <c r="P429" s="14" t="s">
        <v>242</v>
      </c>
      <c r="Q429" s="14" t="s">
        <v>242</v>
      </c>
      <c r="R429" s="9">
        <v>3487</v>
      </c>
      <c r="S429" s="9">
        <v>3682</v>
      </c>
      <c r="T429" s="9">
        <v>3812</v>
      </c>
      <c r="U429" s="9">
        <v>3865</v>
      </c>
      <c r="V429" s="9">
        <v>4081</v>
      </c>
      <c r="X429" s="18" t="s">
        <v>283</v>
      </c>
      <c r="Y429" s="53">
        <f>Y428+C429</f>
        <v>45284</v>
      </c>
      <c r="Z429" s="53">
        <f t="shared" si="70"/>
        <v>39893</v>
      </c>
      <c r="AA429" s="53">
        <f t="shared" si="70"/>
        <v>40537</v>
      </c>
      <c r="AB429" s="53">
        <f t="shared" si="70"/>
        <v>41719</v>
      </c>
      <c r="AC429" s="53">
        <f t="shared" si="70"/>
        <v>42985</v>
      </c>
      <c r="AD429" s="53">
        <f t="shared" si="70"/>
        <v>43537</v>
      </c>
      <c r="AE429" s="53">
        <f t="shared" si="70"/>
        <v>43350</v>
      </c>
      <c r="AF429" s="53">
        <f t="shared" si="70"/>
        <v>45234</v>
      </c>
      <c r="AG429" s="9">
        <f>AG428+R429</f>
        <v>52714</v>
      </c>
      <c r="AH429" s="9">
        <f t="shared" si="71"/>
        <v>53913</v>
      </c>
      <c r="AI429" s="9">
        <f t="shared" si="71"/>
        <v>54894</v>
      </c>
      <c r="AJ429" s="9">
        <f t="shared" si="71"/>
        <v>52678</v>
      </c>
      <c r="AK429" s="9">
        <f t="shared" si="71"/>
        <v>55496</v>
      </c>
      <c r="AN429" s="9"/>
      <c r="AO429" s="9"/>
    </row>
    <row r="430" spans="1:41" ht="12.75">
      <c r="A430" s="18" t="s">
        <v>284</v>
      </c>
      <c r="B430" s="14" t="s">
        <v>242</v>
      </c>
      <c r="C430" s="53">
        <v>1949</v>
      </c>
      <c r="D430" s="53">
        <v>1759</v>
      </c>
      <c r="E430" s="53">
        <v>1721</v>
      </c>
      <c r="F430" s="53">
        <v>1680</v>
      </c>
      <c r="G430" s="53">
        <v>1915</v>
      </c>
      <c r="H430" s="53">
        <v>1911</v>
      </c>
      <c r="I430" s="53">
        <v>1851</v>
      </c>
      <c r="J430" s="53">
        <v>1957</v>
      </c>
      <c r="K430" s="14" t="s">
        <v>242</v>
      </c>
      <c r="L430" s="14" t="s">
        <v>242</v>
      </c>
      <c r="M430" s="14" t="s">
        <v>242</v>
      </c>
      <c r="N430" s="14" t="s">
        <v>242</v>
      </c>
      <c r="O430" s="14" t="s">
        <v>242</v>
      </c>
      <c r="P430" s="14" t="s">
        <v>242</v>
      </c>
      <c r="Q430" s="14" t="s">
        <v>242</v>
      </c>
      <c r="R430" s="9">
        <v>2052</v>
      </c>
      <c r="S430" s="9">
        <v>2150</v>
      </c>
      <c r="T430" s="9">
        <v>2272</v>
      </c>
      <c r="U430" s="9">
        <v>2107</v>
      </c>
      <c r="V430" s="9">
        <v>2331</v>
      </c>
      <c r="X430" s="18" t="s">
        <v>284</v>
      </c>
      <c r="Y430" s="53">
        <f>Y429+C430</f>
        <v>47233</v>
      </c>
      <c r="Z430" s="53">
        <f t="shared" si="70"/>
        <v>41652</v>
      </c>
      <c r="AA430" s="53">
        <f t="shared" si="70"/>
        <v>42258</v>
      </c>
      <c r="AB430" s="53">
        <f t="shared" si="70"/>
        <v>43399</v>
      </c>
      <c r="AC430" s="53">
        <f t="shared" si="70"/>
        <v>44900</v>
      </c>
      <c r="AD430" s="53">
        <f t="shared" si="70"/>
        <v>45448</v>
      </c>
      <c r="AE430" s="53">
        <f t="shared" si="70"/>
        <v>45201</v>
      </c>
      <c r="AF430" s="53">
        <f t="shared" si="70"/>
        <v>47191</v>
      </c>
      <c r="AG430" s="9">
        <f>AG429+R430</f>
        <v>54766</v>
      </c>
      <c r="AH430" s="9">
        <f t="shared" si="71"/>
        <v>56063</v>
      </c>
      <c r="AI430" s="9">
        <f t="shared" si="71"/>
        <v>57166</v>
      </c>
      <c r="AJ430" s="9">
        <f t="shared" si="71"/>
        <v>54785</v>
      </c>
      <c r="AK430" s="9">
        <f t="shared" si="71"/>
        <v>57827</v>
      </c>
      <c r="AN430" s="9"/>
      <c r="AO430" s="9"/>
    </row>
    <row r="431" spans="1:41" ht="12.75">
      <c r="A431" s="18" t="s">
        <v>285</v>
      </c>
      <c r="B431" s="14" t="s">
        <v>242</v>
      </c>
      <c r="C431" s="53">
        <v>608</v>
      </c>
      <c r="D431" s="53">
        <v>516</v>
      </c>
      <c r="E431" s="53">
        <v>520</v>
      </c>
      <c r="F431" s="53">
        <v>592</v>
      </c>
      <c r="G431" s="53">
        <v>577</v>
      </c>
      <c r="H431" s="53">
        <v>593</v>
      </c>
      <c r="I431" s="53">
        <v>923</v>
      </c>
      <c r="J431" s="53">
        <v>661</v>
      </c>
      <c r="K431" s="14" t="s">
        <v>242</v>
      </c>
      <c r="L431" s="14" t="s">
        <v>242</v>
      </c>
      <c r="M431" s="14" t="s">
        <v>242</v>
      </c>
      <c r="N431" s="14" t="s">
        <v>242</v>
      </c>
      <c r="O431" s="14" t="s">
        <v>242</v>
      </c>
      <c r="P431" s="14" t="s">
        <v>242</v>
      </c>
      <c r="Q431" s="14" t="s">
        <v>242</v>
      </c>
      <c r="R431" s="9">
        <v>851</v>
      </c>
      <c r="S431" s="9">
        <v>789</v>
      </c>
      <c r="T431" s="9">
        <v>804</v>
      </c>
      <c r="U431" s="9">
        <v>759</v>
      </c>
      <c r="V431" s="9">
        <v>855</v>
      </c>
      <c r="X431" s="18" t="s">
        <v>285</v>
      </c>
      <c r="Y431" s="53">
        <f>Y430+C431</f>
        <v>47841</v>
      </c>
      <c r="Z431" s="53">
        <f t="shared" si="70"/>
        <v>42168</v>
      </c>
      <c r="AA431" s="53">
        <f t="shared" si="70"/>
        <v>42778</v>
      </c>
      <c r="AB431" s="53">
        <f t="shared" si="70"/>
        <v>43991</v>
      </c>
      <c r="AC431" s="53">
        <f t="shared" si="70"/>
        <v>45477</v>
      </c>
      <c r="AD431" s="53">
        <f t="shared" si="70"/>
        <v>46041</v>
      </c>
      <c r="AE431" s="53">
        <f t="shared" si="70"/>
        <v>46124</v>
      </c>
      <c r="AF431" s="53">
        <f t="shared" si="70"/>
        <v>47852</v>
      </c>
      <c r="AG431" s="9">
        <f>AG430+R431</f>
        <v>55617</v>
      </c>
      <c r="AH431" s="9">
        <f t="shared" si="71"/>
        <v>56852</v>
      </c>
      <c r="AI431" s="9">
        <f t="shared" si="71"/>
        <v>57970</v>
      </c>
      <c r="AJ431" s="9">
        <f t="shared" si="71"/>
        <v>55544</v>
      </c>
      <c r="AK431" s="9">
        <f t="shared" si="71"/>
        <v>58682</v>
      </c>
      <c r="AN431" s="9"/>
      <c r="AO431" s="9"/>
    </row>
    <row r="432" spans="1:41" ht="12.75">
      <c r="A432" s="18" t="s">
        <v>286</v>
      </c>
      <c r="B432" s="14" t="s">
        <v>242</v>
      </c>
      <c r="C432" s="53"/>
      <c r="D432" s="53">
        <v>1597</v>
      </c>
      <c r="E432" s="53">
        <v>1324</v>
      </c>
      <c r="F432" s="53">
        <v>1343</v>
      </c>
      <c r="G432" s="53">
        <v>1315</v>
      </c>
      <c r="H432" s="53">
        <v>1261</v>
      </c>
      <c r="I432" s="53">
        <v>1487</v>
      </c>
      <c r="J432" s="53">
        <v>1476</v>
      </c>
      <c r="K432" s="14" t="s">
        <v>242</v>
      </c>
      <c r="L432" s="14" t="s">
        <v>242</v>
      </c>
      <c r="M432" s="14" t="s">
        <v>242</v>
      </c>
      <c r="N432" s="14" t="s">
        <v>242</v>
      </c>
      <c r="O432" s="14" t="s">
        <v>242</v>
      </c>
      <c r="P432" s="14" t="s">
        <v>242</v>
      </c>
      <c r="Q432" s="14" t="s">
        <v>242</v>
      </c>
      <c r="R432" s="9">
        <v>1903</v>
      </c>
      <c r="S432" s="9">
        <v>1745</v>
      </c>
      <c r="T432" s="9">
        <v>1904</v>
      </c>
      <c r="U432" s="9">
        <v>2040</v>
      </c>
      <c r="V432" s="9">
        <v>2426</v>
      </c>
      <c r="Y432" s="53">
        <f>Y431/2</f>
        <v>23920.5</v>
      </c>
      <c r="Z432" s="53">
        <f aca="true" t="shared" si="72" ref="Z432:AG432">Z431/2</f>
        <v>21084</v>
      </c>
      <c r="AA432" s="53">
        <f t="shared" si="72"/>
        <v>21389</v>
      </c>
      <c r="AB432" s="53">
        <f t="shared" si="72"/>
        <v>21995.5</v>
      </c>
      <c r="AC432" s="53">
        <f t="shared" si="72"/>
        <v>22738.5</v>
      </c>
      <c r="AD432" s="53">
        <f t="shared" si="72"/>
        <v>23020.5</v>
      </c>
      <c r="AE432" s="53">
        <f t="shared" si="72"/>
        <v>23062</v>
      </c>
      <c r="AF432" s="53">
        <f t="shared" si="72"/>
        <v>23926</v>
      </c>
      <c r="AG432" s="53">
        <f t="shared" si="72"/>
        <v>27808.5</v>
      </c>
      <c r="AH432" s="53">
        <f>AH431/2</f>
        <v>28426</v>
      </c>
      <c r="AI432" s="53">
        <f>AI431/2</f>
        <v>28985</v>
      </c>
      <c r="AJ432" s="53">
        <f>AJ431/2</f>
        <v>27772</v>
      </c>
      <c r="AK432" s="53">
        <f>AK431/2</f>
        <v>29341</v>
      </c>
      <c r="AN432" s="9"/>
      <c r="AO432" s="9"/>
    </row>
    <row r="433" spans="1:41" ht="12.75">
      <c r="A433" s="18" t="s">
        <v>287</v>
      </c>
      <c r="B433" s="14" t="s">
        <v>242</v>
      </c>
      <c r="C433" s="53">
        <v>2129</v>
      </c>
      <c r="D433" s="53">
        <v>5099</v>
      </c>
      <c r="E433" s="53">
        <v>5634</v>
      </c>
      <c r="F433" s="53">
        <v>5998</v>
      </c>
      <c r="G433" s="53">
        <v>6098</v>
      </c>
      <c r="H433" s="53">
        <v>6316</v>
      </c>
      <c r="I433" s="53">
        <v>6461</v>
      </c>
      <c r="J433" s="53">
        <v>6772</v>
      </c>
      <c r="K433" s="14" t="s">
        <v>242</v>
      </c>
      <c r="L433" s="14" t="s">
        <v>242</v>
      </c>
      <c r="M433" s="14" t="s">
        <v>242</v>
      </c>
      <c r="N433" s="14" t="s">
        <v>242</v>
      </c>
      <c r="O433" s="14" t="s">
        <v>242</v>
      </c>
      <c r="P433" s="14" t="s">
        <v>242</v>
      </c>
      <c r="Q433" s="14" t="s">
        <v>242</v>
      </c>
      <c r="R433" s="9">
        <v>5907</v>
      </c>
      <c r="S433" s="9">
        <v>5848</v>
      </c>
      <c r="T433" s="9">
        <v>5834</v>
      </c>
      <c r="U433" s="9">
        <v>5702</v>
      </c>
      <c r="V433" s="9">
        <v>6270</v>
      </c>
      <c r="Y433" s="53">
        <f>15+15*(Y432-Y426)/(Y427-Y426)</f>
        <v>19.454879745577422</v>
      </c>
      <c r="Z433" s="53">
        <f aca="true" t="shared" si="73" ref="Z433:AG433">15+15*(Z432-Z426)/(Z427-Z426)</f>
        <v>20.691435513261794</v>
      </c>
      <c r="AA433" s="53">
        <f t="shared" si="73"/>
        <v>20.478176527643065</v>
      </c>
      <c r="AB433" s="53">
        <f t="shared" si="73"/>
        <v>20.357075767063243</v>
      </c>
      <c r="AC433" s="53">
        <f t="shared" si="73"/>
        <v>20.733395109702876</v>
      </c>
      <c r="AD433" s="53">
        <f t="shared" si="73"/>
        <v>20.620756402620607</v>
      </c>
      <c r="AE433" s="53">
        <f t="shared" si="73"/>
        <v>20.69765359125918</v>
      </c>
      <c r="AF433" s="53">
        <f t="shared" si="73"/>
        <v>20.747071412480288</v>
      </c>
      <c r="AG433" s="53">
        <f t="shared" si="73"/>
        <v>20.720874491574666</v>
      </c>
      <c r="AH433" s="53">
        <f>15+15*(AH432-AH426)/(AH427-AH426)</f>
        <v>21.0142891164563</v>
      </c>
      <c r="AI433" s="53">
        <f>15+15*(AI432-AI426)/(AI427-AI426)</f>
        <v>20.992864804365063</v>
      </c>
      <c r="AJ433" s="53">
        <f>15+15*(AJ432-AJ426)/(AJ427-AJ426)</f>
        <v>21.320860298768917</v>
      </c>
      <c r="AK433" s="53">
        <f>15+15*(AK432-AK426)/(AK427-AK426)</f>
        <v>21.610872873149813</v>
      </c>
      <c r="AN433" s="9"/>
      <c r="AO433" s="9"/>
    </row>
    <row r="434" spans="1:41" ht="12.75">
      <c r="A434" s="18" t="s">
        <v>99</v>
      </c>
      <c r="B434" s="14" t="s">
        <v>242</v>
      </c>
      <c r="C434" s="53">
        <v>668</v>
      </c>
      <c r="D434" s="53">
        <v>388</v>
      </c>
      <c r="E434" s="53">
        <v>611</v>
      </c>
      <c r="F434" s="53">
        <v>366</v>
      </c>
      <c r="G434" s="53">
        <v>469</v>
      </c>
      <c r="H434" s="53">
        <v>487</v>
      </c>
      <c r="I434" s="53"/>
      <c r="J434" s="53"/>
      <c r="K434" s="14" t="s">
        <v>242</v>
      </c>
      <c r="L434" s="14" t="s">
        <v>242</v>
      </c>
      <c r="M434" s="14" t="s">
        <v>242</v>
      </c>
      <c r="N434" s="14" t="s">
        <v>242</v>
      </c>
      <c r="O434" s="14" t="s">
        <v>242</v>
      </c>
      <c r="P434" s="14" t="s">
        <v>242</v>
      </c>
      <c r="Q434" s="14" t="s">
        <v>242</v>
      </c>
      <c r="AN434" s="9"/>
      <c r="AO434" s="9"/>
    </row>
    <row r="435" spans="1:41" ht="12.75">
      <c r="A435" s="18" t="s">
        <v>86</v>
      </c>
      <c r="B435" s="14" t="s">
        <v>242</v>
      </c>
      <c r="C435" s="14" t="s">
        <v>242</v>
      </c>
      <c r="D435" s="14" t="s">
        <v>242</v>
      </c>
      <c r="E435" s="14" t="s">
        <v>242</v>
      </c>
      <c r="F435" s="14" t="s">
        <v>242</v>
      </c>
      <c r="G435" s="14" t="s">
        <v>242</v>
      </c>
      <c r="H435" s="14" t="s">
        <v>242</v>
      </c>
      <c r="I435" s="14" t="s">
        <v>242</v>
      </c>
      <c r="J435" s="14" t="s">
        <v>242</v>
      </c>
      <c r="K435" s="14" t="s">
        <v>242</v>
      </c>
      <c r="L435" s="14" t="s">
        <v>242</v>
      </c>
      <c r="M435" s="14" t="s">
        <v>242</v>
      </c>
      <c r="N435" s="14" t="s">
        <v>242</v>
      </c>
      <c r="O435" s="14" t="s">
        <v>242</v>
      </c>
      <c r="P435" s="14" t="s">
        <v>242</v>
      </c>
      <c r="Q435" s="14" t="s">
        <v>242</v>
      </c>
      <c r="R435" s="9">
        <v>21</v>
      </c>
      <c r="S435" s="9">
        <v>21</v>
      </c>
      <c r="T435" s="9">
        <v>21</v>
      </c>
      <c r="U435" s="9">
        <v>21</v>
      </c>
      <c r="V435" s="9">
        <v>22</v>
      </c>
      <c r="AN435" s="9"/>
      <c r="AO435" s="9"/>
    </row>
    <row r="436" spans="1:41" ht="12.75">
      <c r="A436" s="18" t="s">
        <v>307</v>
      </c>
      <c r="B436" s="14" t="s">
        <v>242</v>
      </c>
      <c r="C436" s="9">
        <v>50638</v>
      </c>
      <c r="D436" s="9">
        <v>49252</v>
      </c>
      <c r="E436" s="9">
        <v>50347</v>
      </c>
      <c r="F436" s="9">
        <v>51699</v>
      </c>
      <c r="G436" s="9">
        <v>53357</v>
      </c>
      <c r="H436" s="9">
        <v>54105</v>
      </c>
      <c r="I436" s="9">
        <v>54070</v>
      </c>
      <c r="J436" s="9">
        <v>56099</v>
      </c>
      <c r="R436" s="9">
        <v>63427</v>
      </c>
      <c r="S436" s="9">
        <v>64445</v>
      </c>
      <c r="T436" s="9">
        <v>65708</v>
      </c>
      <c r="U436" s="9">
        <v>63286</v>
      </c>
      <c r="V436" s="9">
        <v>67378</v>
      </c>
      <c r="AN436" s="9"/>
      <c r="AO436" s="9"/>
    </row>
    <row r="437" spans="40:41" ht="12.75">
      <c r="AN437" s="9"/>
      <c r="AO437" s="9"/>
    </row>
    <row r="438" spans="1:41" ht="12.75">
      <c r="A438" s="18" t="s">
        <v>289</v>
      </c>
      <c r="C438" s="48"/>
      <c r="D438" s="48"/>
      <c r="E438" s="48"/>
      <c r="F438" s="48"/>
      <c r="G438" s="48"/>
      <c r="H438" s="48"/>
      <c r="I438" s="48"/>
      <c r="J438" s="48" t="s">
        <v>288</v>
      </c>
      <c r="Y438" s="34">
        <v>1974</v>
      </c>
      <c r="Z438" s="34">
        <v>1975</v>
      </c>
      <c r="AA438" s="34">
        <v>1976</v>
      </c>
      <c r="AB438" s="34">
        <v>1977</v>
      </c>
      <c r="AC438" s="34">
        <v>1978</v>
      </c>
      <c r="AD438" s="34">
        <v>1979</v>
      </c>
      <c r="AE438" s="34">
        <v>1980</v>
      </c>
      <c r="AF438" s="34">
        <v>1981</v>
      </c>
      <c r="AG438" s="15">
        <v>1997</v>
      </c>
      <c r="AH438" s="15">
        <v>1999</v>
      </c>
      <c r="AI438" s="15">
        <v>2001</v>
      </c>
      <c r="AJ438" s="15">
        <v>2003</v>
      </c>
      <c r="AK438" s="15">
        <v>2005</v>
      </c>
      <c r="AN438" s="9"/>
      <c r="AO438" s="9"/>
    </row>
    <row r="439" spans="1:41" ht="12.75">
      <c r="A439" s="18" t="s">
        <v>290</v>
      </c>
      <c r="B439" s="14" t="s">
        <v>242</v>
      </c>
      <c r="C439" s="53">
        <v>6762</v>
      </c>
      <c r="D439" s="53">
        <v>4485</v>
      </c>
      <c r="E439" s="53">
        <v>4149</v>
      </c>
      <c r="F439" s="53">
        <v>4322</v>
      </c>
      <c r="G439" s="53">
        <v>4431</v>
      </c>
      <c r="H439" s="53">
        <v>4376</v>
      </c>
      <c r="I439" s="53">
        <v>4266</v>
      </c>
      <c r="J439" s="53">
        <v>4524</v>
      </c>
      <c r="K439" s="14" t="s">
        <v>242</v>
      </c>
      <c r="L439" s="14" t="s">
        <v>242</v>
      </c>
      <c r="M439" s="14" t="s">
        <v>242</v>
      </c>
      <c r="N439" s="14" t="s">
        <v>242</v>
      </c>
      <c r="O439" s="14" t="s">
        <v>242</v>
      </c>
      <c r="P439" s="14" t="s">
        <v>242</v>
      </c>
      <c r="Q439" s="14" t="s">
        <v>242</v>
      </c>
      <c r="R439" s="9">
        <v>2781</v>
      </c>
      <c r="S439" s="9">
        <v>2666</v>
      </c>
      <c r="T439" s="9">
        <v>2848</v>
      </c>
      <c r="U439" s="9">
        <v>2530</v>
      </c>
      <c r="V439" s="9">
        <v>2552</v>
      </c>
      <c r="X439" s="18" t="s">
        <v>290</v>
      </c>
      <c r="Y439" s="53">
        <f aca="true" t="shared" si="74" ref="Y439:AF439">C439</f>
        <v>6762</v>
      </c>
      <c r="Z439" s="53">
        <f t="shared" si="74"/>
        <v>4485</v>
      </c>
      <c r="AA439" s="53">
        <f t="shared" si="74"/>
        <v>4149</v>
      </c>
      <c r="AB439" s="53">
        <f t="shared" si="74"/>
        <v>4322</v>
      </c>
      <c r="AC439" s="53">
        <f t="shared" si="74"/>
        <v>4431</v>
      </c>
      <c r="AD439" s="53">
        <f t="shared" si="74"/>
        <v>4376</v>
      </c>
      <c r="AE439" s="53">
        <f t="shared" si="74"/>
        <v>4266</v>
      </c>
      <c r="AF439" s="53">
        <f t="shared" si="74"/>
        <v>4524</v>
      </c>
      <c r="AG439" s="9">
        <f>R439</f>
        <v>2781</v>
      </c>
      <c r="AH439" s="9">
        <f>S439</f>
        <v>2666</v>
      </c>
      <c r="AI439" s="9">
        <f>T439</f>
        <v>2848</v>
      </c>
      <c r="AJ439" s="9">
        <f>U439</f>
        <v>2530</v>
      </c>
      <c r="AK439" s="9">
        <f>V439</f>
        <v>2552</v>
      </c>
      <c r="AN439" s="9"/>
      <c r="AO439" s="9"/>
    </row>
    <row r="440" spans="1:41" ht="12.75">
      <c r="A440" s="18" t="s">
        <v>291</v>
      </c>
      <c r="B440" s="14" t="s">
        <v>242</v>
      </c>
      <c r="C440" s="53">
        <v>11691</v>
      </c>
      <c r="D440" s="53">
        <v>13277</v>
      </c>
      <c r="E440" s="53">
        <v>13274</v>
      </c>
      <c r="F440" s="53">
        <v>13795</v>
      </c>
      <c r="G440" s="53">
        <v>11938</v>
      </c>
      <c r="H440" s="53">
        <v>12223</v>
      </c>
      <c r="I440" s="53">
        <v>11933</v>
      </c>
      <c r="J440" s="53">
        <v>12254</v>
      </c>
      <c r="K440" s="14" t="s">
        <v>242</v>
      </c>
      <c r="L440" s="14" t="s">
        <v>242</v>
      </c>
      <c r="M440" s="14" t="s">
        <v>242</v>
      </c>
      <c r="N440" s="14" t="s">
        <v>242</v>
      </c>
      <c r="O440" s="14" t="s">
        <v>242</v>
      </c>
      <c r="P440" s="14" t="s">
        <v>242</v>
      </c>
      <c r="Q440" s="14" t="s">
        <v>242</v>
      </c>
      <c r="R440" s="9">
        <v>12955</v>
      </c>
      <c r="S440" s="9">
        <v>12849</v>
      </c>
      <c r="T440" s="9">
        <v>12576</v>
      </c>
      <c r="U440" s="9">
        <v>11899</v>
      </c>
      <c r="V440" s="9">
        <v>12060</v>
      </c>
      <c r="X440" s="18" t="s">
        <v>291</v>
      </c>
      <c r="Y440" s="53">
        <f aca="true" t="shared" si="75" ref="Y440:AF444">Y439+C440</f>
        <v>18453</v>
      </c>
      <c r="Z440" s="53">
        <f t="shared" si="75"/>
        <v>17762</v>
      </c>
      <c r="AA440" s="53">
        <f t="shared" si="75"/>
        <v>17423</v>
      </c>
      <c r="AB440" s="53">
        <f t="shared" si="75"/>
        <v>18117</v>
      </c>
      <c r="AC440" s="53">
        <f t="shared" si="75"/>
        <v>16369</v>
      </c>
      <c r="AD440" s="53">
        <f t="shared" si="75"/>
        <v>16599</v>
      </c>
      <c r="AE440" s="53">
        <f t="shared" si="75"/>
        <v>16199</v>
      </c>
      <c r="AF440" s="53">
        <f t="shared" si="75"/>
        <v>16778</v>
      </c>
      <c r="AG440" s="9">
        <f aca="true" t="shared" si="76" ref="AG440:AK444">AG439+R440</f>
        <v>15736</v>
      </c>
      <c r="AH440" s="9">
        <f t="shared" si="76"/>
        <v>15515</v>
      </c>
      <c r="AI440" s="9">
        <f t="shared" si="76"/>
        <v>15424</v>
      </c>
      <c r="AJ440" s="9">
        <f t="shared" si="76"/>
        <v>14429</v>
      </c>
      <c r="AK440" s="9">
        <f t="shared" si="76"/>
        <v>14612</v>
      </c>
      <c r="AN440" s="9"/>
      <c r="AO440" s="9"/>
    </row>
    <row r="441" spans="1:41" ht="12.75">
      <c r="A441" s="18" t="s">
        <v>292</v>
      </c>
      <c r="B441" s="14" t="s">
        <v>242</v>
      </c>
      <c r="C441" s="53">
        <v>10405</v>
      </c>
      <c r="D441" s="53">
        <v>8669</v>
      </c>
      <c r="E441" s="53">
        <v>8748</v>
      </c>
      <c r="F441" s="53">
        <v>8796</v>
      </c>
      <c r="G441" s="53">
        <v>10357</v>
      </c>
      <c r="H441" s="53">
        <v>10514</v>
      </c>
      <c r="I441" s="53">
        <v>10573</v>
      </c>
      <c r="J441" s="53">
        <v>10974</v>
      </c>
      <c r="K441" s="14" t="s">
        <v>242</v>
      </c>
      <c r="L441" s="14" t="s">
        <v>242</v>
      </c>
      <c r="M441" s="14" t="s">
        <v>242</v>
      </c>
      <c r="N441" s="14" t="s">
        <v>242</v>
      </c>
      <c r="O441" s="14" t="s">
        <v>242</v>
      </c>
      <c r="P441" s="14" t="s">
        <v>242</v>
      </c>
      <c r="Q441" s="14" t="s">
        <v>242</v>
      </c>
      <c r="R441" s="9">
        <v>12391</v>
      </c>
      <c r="S441" s="9">
        <v>12594</v>
      </c>
      <c r="T441" s="9">
        <v>12763</v>
      </c>
      <c r="U441" s="9">
        <v>12271</v>
      </c>
      <c r="V441" s="9">
        <v>12971</v>
      </c>
      <c r="X441" s="18" t="s">
        <v>292</v>
      </c>
      <c r="Y441" s="53">
        <f t="shared" si="75"/>
        <v>28858</v>
      </c>
      <c r="Z441" s="53">
        <f t="shared" si="75"/>
        <v>26431</v>
      </c>
      <c r="AA441" s="53">
        <f t="shared" si="75"/>
        <v>26171</v>
      </c>
      <c r="AB441" s="53">
        <f t="shared" si="75"/>
        <v>26913</v>
      </c>
      <c r="AC441" s="53">
        <f t="shared" si="75"/>
        <v>26726</v>
      </c>
      <c r="AD441" s="53">
        <f t="shared" si="75"/>
        <v>27113</v>
      </c>
      <c r="AE441" s="53">
        <f t="shared" si="75"/>
        <v>26772</v>
      </c>
      <c r="AF441" s="53">
        <f t="shared" si="75"/>
        <v>27752</v>
      </c>
      <c r="AG441" s="9">
        <f t="shared" si="76"/>
        <v>28127</v>
      </c>
      <c r="AH441" s="9">
        <f t="shared" si="76"/>
        <v>28109</v>
      </c>
      <c r="AI441" s="9">
        <f t="shared" si="76"/>
        <v>28187</v>
      </c>
      <c r="AJ441" s="9">
        <f t="shared" si="76"/>
        <v>26700</v>
      </c>
      <c r="AK441" s="9">
        <f t="shared" si="76"/>
        <v>27583</v>
      </c>
      <c r="AN441" s="9"/>
      <c r="AO441" s="9"/>
    </row>
    <row r="442" spans="1:41" ht="12.75">
      <c r="A442" s="18" t="s">
        <v>293</v>
      </c>
      <c r="B442" s="14" t="s">
        <v>242</v>
      </c>
      <c r="C442" s="53">
        <v>15297</v>
      </c>
      <c r="D442" s="53">
        <v>12981</v>
      </c>
      <c r="E442" s="53">
        <v>13664</v>
      </c>
      <c r="F442" s="53">
        <v>13995</v>
      </c>
      <c r="G442" s="53">
        <v>15120</v>
      </c>
      <c r="H442" s="53">
        <v>15266</v>
      </c>
      <c r="I442" s="53">
        <v>15750</v>
      </c>
      <c r="J442" s="53">
        <v>16462</v>
      </c>
      <c r="K442" s="14" t="s">
        <v>242</v>
      </c>
      <c r="L442" s="14" t="s">
        <v>242</v>
      </c>
      <c r="M442" s="14" t="s">
        <v>242</v>
      </c>
      <c r="N442" s="14" t="s">
        <v>242</v>
      </c>
      <c r="O442" s="14" t="s">
        <v>242</v>
      </c>
      <c r="P442" s="14" t="s">
        <v>242</v>
      </c>
      <c r="Q442" s="14" t="s">
        <v>242</v>
      </c>
      <c r="R442" s="9">
        <v>22083</v>
      </c>
      <c r="S442" s="9">
        <v>22993</v>
      </c>
      <c r="T442" s="9">
        <v>23547</v>
      </c>
      <c r="U442" s="9">
        <v>22732</v>
      </c>
      <c r="V442" s="9">
        <v>24511</v>
      </c>
      <c r="X442" s="18" t="s">
        <v>293</v>
      </c>
      <c r="Y442" s="53">
        <f t="shared" si="75"/>
        <v>44155</v>
      </c>
      <c r="Z442" s="53">
        <f t="shared" si="75"/>
        <v>39412</v>
      </c>
      <c r="AA442" s="53">
        <f t="shared" si="75"/>
        <v>39835</v>
      </c>
      <c r="AB442" s="53">
        <f t="shared" si="75"/>
        <v>40908</v>
      </c>
      <c r="AC442" s="53">
        <f t="shared" si="75"/>
        <v>41846</v>
      </c>
      <c r="AD442" s="53">
        <f t="shared" si="75"/>
        <v>42379</v>
      </c>
      <c r="AE442" s="53">
        <f t="shared" si="75"/>
        <v>42522</v>
      </c>
      <c r="AF442" s="53">
        <f t="shared" si="75"/>
        <v>44214</v>
      </c>
      <c r="AG442" s="9">
        <f t="shared" si="76"/>
        <v>50210</v>
      </c>
      <c r="AH442" s="9">
        <f t="shared" si="76"/>
        <v>51102</v>
      </c>
      <c r="AI442" s="9">
        <f t="shared" si="76"/>
        <v>51734</v>
      </c>
      <c r="AJ442" s="9">
        <f t="shared" si="76"/>
        <v>49432</v>
      </c>
      <c r="AK442" s="9">
        <f t="shared" si="76"/>
        <v>52094</v>
      </c>
      <c r="AN442" s="9"/>
      <c r="AO442" s="9"/>
    </row>
    <row r="443" spans="1:41" ht="12.75">
      <c r="A443" s="18" t="s">
        <v>319</v>
      </c>
      <c r="B443" s="14" t="s">
        <v>242</v>
      </c>
      <c r="C443" s="53">
        <v>2583</v>
      </c>
      <c r="D443" s="53">
        <v>1983</v>
      </c>
      <c r="E443" s="53">
        <v>2097</v>
      </c>
      <c r="F443" s="53">
        <v>2163</v>
      </c>
      <c r="G443" s="53">
        <v>2344</v>
      </c>
      <c r="H443" s="53">
        <v>2406</v>
      </c>
      <c r="I443" s="53">
        <v>2543</v>
      </c>
      <c r="J443" s="53">
        <v>2745</v>
      </c>
      <c r="K443" s="14" t="s">
        <v>242</v>
      </c>
      <c r="L443" s="14" t="s">
        <v>242</v>
      </c>
      <c r="M443" s="14" t="s">
        <v>242</v>
      </c>
      <c r="N443" s="14" t="s">
        <v>242</v>
      </c>
      <c r="O443" s="14" t="s">
        <v>242</v>
      </c>
      <c r="P443" s="14" t="s">
        <v>242</v>
      </c>
      <c r="Q443" s="14" t="s">
        <v>242</v>
      </c>
      <c r="R443" s="9">
        <v>4142</v>
      </c>
      <c r="S443" s="9">
        <v>4488</v>
      </c>
      <c r="T443" s="9">
        <v>4902</v>
      </c>
      <c r="U443" s="9">
        <v>4807</v>
      </c>
      <c r="V443" s="9">
        <v>5144</v>
      </c>
      <c r="X443" s="18" t="s">
        <v>319</v>
      </c>
      <c r="Y443" s="53">
        <f t="shared" si="75"/>
        <v>46738</v>
      </c>
      <c r="Z443" s="53">
        <f t="shared" si="75"/>
        <v>41395</v>
      </c>
      <c r="AA443" s="53">
        <f t="shared" si="75"/>
        <v>41932</v>
      </c>
      <c r="AB443" s="53">
        <f t="shared" si="75"/>
        <v>43071</v>
      </c>
      <c r="AC443" s="53">
        <f t="shared" si="75"/>
        <v>44190</v>
      </c>
      <c r="AD443" s="53">
        <f t="shared" si="75"/>
        <v>44785</v>
      </c>
      <c r="AE443" s="53">
        <f t="shared" si="75"/>
        <v>45065</v>
      </c>
      <c r="AF443" s="53">
        <f t="shared" si="75"/>
        <v>46959</v>
      </c>
      <c r="AG443" s="9">
        <f t="shared" si="76"/>
        <v>54352</v>
      </c>
      <c r="AH443" s="9">
        <f t="shared" si="76"/>
        <v>55590</v>
      </c>
      <c r="AI443" s="9">
        <f t="shared" si="76"/>
        <v>56636</v>
      </c>
      <c r="AJ443" s="9">
        <f t="shared" si="76"/>
        <v>54239</v>
      </c>
      <c r="AK443" s="9">
        <f t="shared" si="76"/>
        <v>57238</v>
      </c>
      <c r="AN443" s="9"/>
      <c r="AO443" s="9"/>
    </row>
    <row r="444" spans="1:41" ht="12.75">
      <c r="A444" s="18" t="s">
        <v>294</v>
      </c>
      <c r="B444" s="14" t="s">
        <v>242</v>
      </c>
      <c r="C444" s="53">
        <v>944</v>
      </c>
      <c r="D444" s="53">
        <v>616</v>
      </c>
      <c r="E444" s="53">
        <v>676</v>
      </c>
      <c r="F444" s="53">
        <v>697</v>
      </c>
      <c r="G444" s="53">
        <v>732</v>
      </c>
      <c r="H444" s="53">
        <v>702</v>
      </c>
      <c r="I444" s="53">
        <v>1058</v>
      </c>
      <c r="J444" s="53">
        <v>894</v>
      </c>
      <c r="K444" s="14" t="s">
        <v>242</v>
      </c>
      <c r="L444" s="14" t="s">
        <v>242</v>
      </c>
      <c r="M444" s="14" t="s">
        <v>242</v>
      </c>
      <c r="N444" s="14" t="s">
        <v>242</v>
      </c>
      <c r="O444" s="14" t="s">
        <v>242</v>
      </c>
      <c r="P444" s="14" t="s">
        <v>242</v>
      </c>
      <c r="Q444" s="14" t="s">
        <v>242</v>
      </c>
      <c r="R444" s="9">
        <v>1264</v>
      </c>
      <c r="S444" s="9">
        <v>1261</v>
      </c>
      <c r="T444" s="9">
        <v>1335</v>
      </c>
      <c r="U444" s="9">
        <v>1304</v>
      </c>
      <c r="V444" s="9">
        <v>1445</v>
      </c>
      <c r="X444" s="18" t="s">
        <v>294</v>
      </c>
      <c r="Y444" s="53">
        <f t="shared" si="75"/>
        <v>47682</v>
      </c>
      <c r="Z444" s="53">
        <f t="shared" si="75"/>
        <v>42011</v>
      </c>
      <c r="AA444" s="53">
        <f t="shared" si="75"/>
        <v>42608</v>
      </c>
      <c r="AB444" s="53">
        <f t="shared" si="75"/>
        <v>43768</v>
      </c>
      <c r="AC444" s="53">
        <f t="shared" si="75"/>
        <v>44922</v>
      </c>
      <c r="AD444" s="53">
        <f t="shared" si="75"/>
        <v>45487</v>
      </c>
      <c r="AE444" s="53">
        <f t="shared" si="75"/>
        <v>46123</v>
      </c>
      <c r="AF444" s="53">
        <f t="shared" si="75"/>
        <v>47853</v>
      </c>
      <c r="AG444" s="9">
        <f t="shared" si="76"/>
        <v>55616</v>
      </c>
      <c r="AH444" s="9">
        <f t="shared" si="76"/>
        <v>56851</v>
      </c>
      <c r="AI444" s="9">
        <f t="shared" si="76"/>
        <v>57971</v>
      </c>
      <c r="AJ444" s="9">
        <f t="shared" si="76"/>
        <v>55543</v>
      </c>
      <c r="AK444" s="9">
        <f t="shared" si="76"/>
        <v>58683</v>
      </c>
      <c r="AN444" s="9"/>
      <c r="AO444" s="9"/>
    </row>
    <row r="445" spans="1:41" ht="12.75">
      <c r="A445" s="18" t="s">
        <v>286</v>
      </c>
      <c r="B445" s="14" t="s">
        <v>242</v>
      </c>
      <c r="C445" s="53"/>
      <c r="D445" s="53">
        <v>1597</v>
      </c>
      <c r="E445" s="53">
        <v>1324</v>
      </c>
      <c r="F445" s="53">
        <v>1343</v>
      </c>
      <c r="G445" s="53">
        <v>1315</v>
      </c>
      <c r="H445" s="53">
        <v>1261</v>
      </c>
      <c r="I445" s="53">
        <v>1487</v>
      </c>
      <c r="J445" s="53">
        <v>1476</v>
      </c>
      <c r="K445" s="14" t="s">
        <v>242</v>
      </c>
      <c r="L445" s="14" t="s">
        <v>242</v>
      </c>
      <c r="M445" s="14" t="s">
        <v>242</v>
      </c>
      <c r="N445" s="14" t="s">
        <v>242</v>
      </c>
      <c r="O445" s="14" t="s">
        <v>242</v>
      </c>
      <c r="P445" s="14" t="s">
        <v>242</v>
      </c>
      <c r="Q445" s="14" t="s">
        <v>242</v>
      </c>
      <c r="R445" s="9">
        <v>1903</v>
      </c>
      <c r="S445" s="9">
        <v>1745</v>
      </c>
      <c r="T445" s="9">
        <v>1904</v>
      </c>
      <c r="U445" s="9">
        <v>2040</v>
      </c>
      <c r="V445" s="9">
        <v>2426</v>
      </c>
      <c r="Y445" s="53">
        <f aca="true" t="shared" si="77" ref="Y445:AK445">Y444/2</f>
        <v>23841</v>
      </c>
      <c r="Z445" s="53">
        <f t="shared" si="77"/>
        <v>21005.5</v>
      </c>
      <c r="AA445" s="53">
        <f t="shared" si="77"/>
        <v>21304</v>
      </c>
      <c r="AB445" s="53">
        <f t="shared" si="77"/>
        <v>21884</v>
      </c>
      <c r="AC445" s="53">
        <f t="shared" si="77"/>
        <v>22461</v>
      </c>
      <c r="AD445" s="53">
        <f t="shared" si="77"/>
        <v>22743.5</v>
      </c>
      <c r="AE445" s="53">
        <f t="shared" si="77"/>
        <v>23061.5</v>
      </c>
      <c r="AF445" s="53">
        <f t="shared" si="77"/>
        <v>23926.5</v>
      </c>
      <c r="AG445" s="53">
        <f t="shared" si="77"/>
        <v>27808</v>
      </c>
      <c r="AH445" s="53">
        <f t="shared" si="77"/>
        <v>28425.5</v>
      </c>
      <c r="AI445" s="53">
        <f t="shared" si="77"/>
        <v>28985.5</v>
      </c>
      <c r="AJ445" s="53">
        <f t="shared" si="77"/>
        <v>27771.5</v>
      </c>
      <c r="AK445" s="53">
        <f t="shared" si="77"/>
        <v>29341.5</v>
      </c>
      <c r="AN445" s="9"/>
      <c r="AO445" s="9"/>
    </row>
    <row r="446" spans="1:41" ht="12.75">
      <c r="A446" s="18" t="s">
        <v>287</v>
      </c>
      <c r="B446" s="14" t="s">
        <v>242</v>
      </c>
      <c r="C446" s="53">
        <v>2129</v>
      </c>
      <c r="D446" s="53">
        <v>5099</v>
      </c>
      <c r="E446" s="53">
        <v>5634</v>
      </c>
      <c r="F446" s="53">
        <v>5998</v>
      </c>
      <c r="G446" s="53">
        <v>6098</v>
      </c>
      <c r="H446" s="53">
        <v>6316</v>
      </c>
      <c r="I446" s="53">
        <v>6461</v>
      </c>
      <c r="J446" s="53">
        <v>6772</v>
      </c>
      <c r="K446" s="14" t="s">
        <v>242</v>
      </c>
      <c r="L446" s="14" t="s">
        <v>242</v>
      </c>
      <c r="M446" s="14" t="s">
        <v>242</v>
      </c>
      <c r="N446" s="14" t="s">
        <v>242</v>
      </c>
      <c r="O446" s="14" t="s">
        <v>242</v>
      </c>
      <c r="P446" s="14" t="s">
        <v>242</v>
      </c>
      <c r="Q446" s="14" t="s">
        <v>242</v>
      </c>
      <c r="R446" s="9">
        <v>5907</v>
      </c>
      <c r="S446" s="9">
        <v>5848</v>
      </c>
      <c r="T446" s="9">
        <v>5834</v>
      </c>
      <c r="U446" s="9">
        <v>5702</v>
      </c>
      <c r="V446" s="9">
        <v>6270</v>
      </c>
      <c r="Y446" s="53">
        <f>5+5*(Y445-Y440)/(Y441-Y440)</f>
        <v>7.5891398366170115</v>
      </c>
      <c r="Z446" s="53">
        <f aca="true" t="shared" si="78" ref="Z446:AF446">5+5*(Z445-Z440)/(Z441-Z440)</f>
        <v>6.870746337524513</v>
      </c>
      <c r="AA446" s="53">
        <f t="shared" si="78"/>
        <v>7.218221307727481</v>
      </c>
      <c r="AB446" s="53">
        <f t="shared" si="78"/>
        <v>7.1413142337426105</v>
      </c>
      <c r="AC446" s="53">
        <f t="shared" si="78"/>
        <v>7.941006082842522</v>
      </c>
      <c r="AD446" s="53">
        <f t="shared" si="78"/>
        <v>7.922056305877877</v>
      </c>
      <c r="AE446" s="53">
        <f t="shared" si="78"/>
        <v>8.24529461836754</v>
      </c>
      <c r="AF446" s="53">
        <f t="shared" si="78"/>
        <v>8.257016584654638</v>
      </c>
      <c r="AG446" s="53">
        <f>5+5*(AG445-AG440)/(AG441-AG440)</f>
        <v>9.871277540150109</v>
      </c>
      <c r="AH446" s="53">
        <f>10+20*(AH445-AH441)/(AH442-AH441)</f>
        <v>10.27530117861958</v>
      </c>
      <c r="AI446" s="73">
        <f>10+20*(AI445-AI441)/(AI442-AI441)</f>
        <v>10.678218032021064</v>
      </c>
      <c r="AJ446" s="53">
        <f>10+20*(AJ445-AJ441)/(AJ442-AJ441)</f>
        <v>10.942723913426008</v>
      </c>
      <c r="AK446" s="53">
        <f>10+20*(AK445-AK441)/(AK442-AK441)</f>
        <v>11.434865978540248</v>
      </c>
      <c r="AN446" s="9"/>
      <c r="AO446" s="9"/>
    </row>
    <row r="447" spans="1:41" ht="12.75">
      <c r="A447" s="18" t="s">
        <v>99</v>
      </c>
      <c r="B447" s="14" t="s">
        <v>242</v>
      </c>
      <c r="C447" s="53">
        <v>828</v>
      </c>
      <c r="D447" s="53">
        <v>541</v>
      </c>
      <c r="E447" s="53">
        <v>782</v>
      </c>
      <c r="F447" s="53">
        <v>589</v>
      </c>
      <c r="G447" s="53">
        <v>1024</v>
      </c>
      <c r="H447" s="53">
        <v>1042</v>
      </c>
      <c r="I447" s="53"/>
      <c r="J447" s="53"/>
      <c r="K447" s="14" t="s">
        <v>242</v>
      </c>
      <c r="L447" s="14" t="s">
        <v>242</v>
      </c>
      <c r="M447" s="14" t="s">
        <v>242</v>
      </c>
      <c r="N447" s="14" t="s">
        <v>242</v>
      </c>
      <c r="O447" s="14" t="s">
        <v>242</v>
      </c>
      <c r="P447" s="14" t="s">
        <v>242</v>
      </c>
      <c r="Q447" s="14" t="s">
        <v>242</v>
      </c>
      <c r="AN447" s="9"/>
      <c r="AO447" s="9"/>
    </row>
    <row r="448" spans="1:41" ht="12.75">
      <c r="A448" s="18" t="s">
        <v>86</v>
      </c>
      <c r="B448" s="14" t="s">
        <v>242</v>
      </c>
      <c r="C448" s="14" t="s">
        <v>242</v>
      </c>
      <c r="D448" s="14" t="s">
        <v>242</v>
      </c>
      <c r="E448" s="14" t="s">
        <v>242</v>
      </c>
      <c r="F448" s="14" t="s">
        <v>242</v>
      </c>
      <c r="G448" s="14" t="s">
        <v>242</v>
      </c>
      <c r="H448" s="14" t="s">
        <v>242</v>
      </c>
      <c r="I448" s="14" t="s">
        <v>242</v>
      </c>
      <c r="J448" s="14" t="s">
        <v>242</v>
      </c>
      <c r="K448" s="14" t="s">
        <v>242</v>
      </c>
      <c r="L448" s="14" t="s">
        <v>242</v>
      </c>
      <c r="M448" s="14" t="s">
        <v>242</v>
      </c>
      <c r="N448" s="14" t="s">
        <v>242</v>
      </c>
      <c r="O448" s="14" t="s">
        <v>242</v>
      </c>
      <c r="P448" s="14" t="s">
        <v>242</v>
      </c>
      <c r="Q448" s="14" t="s">
        <v>242</v>
      </c>
      <c r="R448" s="9">
        <v>10</v>
      </c>
      <c r="S448" s="9">
        <v>10</v>
      </c>
      <c r="T448" s="9">
        <v>10</v>
      </c>
      <c r="U448" s="9">
        <v>11</v>
      </c>
      <c r="V448" s="9">
        <v>11</v>
      </c>
      <c r="AN448" s="9"/>
      <c r="AO448" s="9"/>
    </row>
    <row r="449" spans="40:41" ht="12.75">
      <c r="AN449" s="9"/>
      <c r="AO449" s="9"/>
    </row>
    <row r="450" spans="1:41" ht="12.75">
      <c r="A450" s="17" t="s">
        <v>115</v>
      </c>
      <c r="AN450" s="9"/>
      <c r="AO450" s="9"/>
    </row>
    <row r="451" spans="40:41" ht="12.75">
      <c r="AN451" s="9"/>
      <c r="AO451" s="9"/>
    </row>
    <row r="452" spans="1:45" ht="12.75">
      <c r="A452" s="18" t="s">
        <v>116</v>
      </c>
      <c r="R452" s="10"/>
      <c r="S452" s="10"/>
      <c r="T452" s="10"/>
      <c r="U452" s="10"/>
      <c r="V452" s="10"/>
      <c r="X452" s="18" t="s">
        <v>116</v>
      </c>
      <c r="Y452" s="34">
        <v>1973</v>
      </c>
      <c r="Z452" s="34">
        <v>1974</v>
      </c>
      <c r="AA452" s="34">
        <v>1975</v>
      </c>
      <c r="AB452" s="34">
        <v>1976</v>
      </c>
      <c r="AC452" s="34">
        <v>1977</v>
      </c>
      <c r="AD452" s="34">
        <v>1978</v>
      </c>
      <c r="AE452" s="34">
        <v>1979</v>
      </c>
      <c r="AF452" s="34">
        <v>1980</v>
      </c>
      <c r="AG452" s="34">
        <v>1981</v>
      </c>
      <c r="AH452" s="34">
        <v>1983</v>
      </c>
      <c r="AI452" s="34">
        <v>1985</v>
      </c>
      <c r="AJ452" s="33">
        <v>1987</v>
      </c>
      <c r="AK452" s="33">
        <v>1989</v>
      </c>
      <c r="AL452" s="33">
        <v>1991</v>
      </c>
      <c r="AM452" s="33">
        <v>1993</v>
      </c>
      <c r="AN452" s="33">
        <v>1995</v>
      </c>
      <c r="AO452" s="15">
        <v>1997</v>
      </c>
      <c r="AP452" s="15">
        <v>1999</v>
      </c>
      <c r="AQ452" s="15">
        <v>2001</v>
      </c>
      <c r="AR452" s="15">
        <v>2003</v>
      </c>
      <c r="AS452" s="15">
        <v>2005</v>
      </c>
    </row>
    <row r="453" spans="1:45" ht="12.75">
      <c r="A453" s="18" t="s">
        <v>117</v>
      </c>
      <c r="B453" s="9">
        <v>13909</v>
      </c>
      <c r="C453" s="9">
        <v>13809</v>
      </c>
      <c r="D453" s="9">
        <v>14363</v>
      </c>
      <c r="E453" s="9">
        <v>14838</v>
      </c>
      <c r="F453" s="9">
        <v>15796</v>
      </c>
      <c r="G453" s="9">
        <v>17158</v>
      </c>
      <c r="H453" s="9">
        <v>17735</v>
      </c>
      <c r="I453" s="9">
        <v>17738</v>
      </c>
      <c r="J453" s="9">
        <v>18664</v>
      </c>
      <c r="K453" s="9">
        <v>18986</v>
      </c>
      <c r="L453" s="9">
        <v>20987</v>
      </c>
      <c r="M453" s="9">
        <v>21950</v>
      </c>
      <c r="N453" s="9">
        <v>22356</v>
      </c>
      <c r="O453" s="9">
        <v>22393</v>
      </c>
      <c r="P453" s="9">
        <v>22989</v>
      </c>
      <c r="Q453" s="9">
        <v>24070</v>
      </c>
      <c r="R453" s="9">
        <v>25263</v>
      </c>
      <c r="S453" s="9">
        <v>26901</v>
      </c>
      <c r="T453" s="9">
        <v>28149</v>
      </c>
      <c r="U453" s="9">
        <v>28171</v>
      </c>
      <c r="V453" s="9">
        <v>29181</v>
      </c>
      <c r="X453" s="18" t="s">
        <v>117</v>
      </c>
      <c r="Y453" s="9">
        <f>B453</f>
        <v>13909</v>
      </c>
      <c r="Z453" s="9">
        <f aca="true" t="shared" si="79" ref="Z453:AS453">C453</f>
        <v>13809</v>
      </c>
      <c r="AA453" s="9">
        <f t="shared" si="79"/>
        <v>14363</v>
      </c>
      <c r="AB453" s="9">
        <f t="shared" si="79"/>
        <v>14838</v>
      </c>
      <c r="AC453" s="9">
        <f t="shared" si="79"/>
        <v>15796</v>
      </c>
      <c r="AD453" s="9">
        <f t="shared" si="79"/>
        <v>17158</v>
      </c>
      <c r="AE453" s="9">
        <f t="shared" si="79"/>
        <v>17735</v>
      </c>
      <c r="AF453" s="9">
        <f t="shared" si="79"/>
        <v>17738</v>
      </c>
      <c r="AG453" s="9">
        <f t="shared" si="79"/>
        <v>18664</v>
      </c>
      <c r="AH453" s="9">
        <f t="shared" si="79"/>
        <v>18986</v>
      </c>
      <c r="AI453" s="9">
        <f t="shared" si="79"/>
        <v>20987</v>
      </c>
      <c r="AJ453" s="9">
        <f t="shared" si="79"/>
        <v>21950</v>
      </c>
      <c r="AK453" s="9">
        <f t="shared" si="79"/>
        <v>22356</v>
      </c>
      <c r="AL453" s="9">
        <f t="shared" si="79"/>
        <v>22393</v>
      </c>
      <c r="AM453" s="9">
        <f t="shared" si="79"/>
        <v>22989</v>
      </c>
      <c r="AN453" s="9">
        <f t="shared" si="79"/>
        <v>24070</v>
      </c>
      <c r="AO453" s="9">
        <f t="shared" si="79"/>
        <v>25263</v>
      </c>
      <c r="AP453" s="9">
        <f t="shared" si="79"/>
        <v>26901</v>
      </c>
      <c r="AQ453" s="9">
        <f t="shared" si="79"/>
        <v>28149</v>
      </c>
      <c r="AR453" s="9">
        <f t="shared" si="79"/>
        <v>28171</v>
      </c>
      <c r="AS453" s="9">
        <f t="shared" si="79"/>
        <v>29181</v>
      </c>
    </row>
    <row r="454" spans="1:45" ht="12.75">
      <c r="A454" s="18" t="s">
        <v>118</v>
      </c>
      <c r="B454" s="9">
        <v>21035</v>
      </c>
      <c r="C454" s="9">
        <v>21679</v>
      </c>
      <c r="D454" s="9">
        <v>22500</v>
      </c>
      <c r="E454" s="9">
        <v>23027</v>
      </c>
      <c r="F454" s="9">
        <v>23243</v>
      </c>
      <c r="G454" s="9">
        <v>23829</v>
      </c>
      <c r="H454" s="9">
        <v>24357</v>
      </c>
      <c r="I454" s="9">
        <v>25038</v>
      </c>
      <c r="J454" s="9">
        <v>26112</v>
      </c>
      <c r="K454" s="9">
        <v>26674</v>
      </c>
      <c r="L454" s="9">
        <v>28238</v>
      </c>
      <c r="M454" s="9">
        <v>29109</v>
      </c>
      <c r="N454" s="9">
        <v>30108</v>
      </c>
      <c r="O454" s="9">
        <v>30589</v>
      </c>
      <c r="P454" s="9">
        <v>31304</v>
      </c>
      <c r="Q454" s="9">
        <v>31931</v>
      </c>
      <c r="R454" s="9">
        <v>32473</v>
      </c>
      <c r="S454" s="9">
        <v>33817</v>
      </c>
      <c r="T454" s="9">
        <v>34653</v>
      </c>
      <c r="U454" s="9">
        <v>34424</v>
      </c>
      <c r="V454" s="9">
        <v>35569</v>
      </c>
      <c r="X454" s="18" t="s">
        <v>118</v>
      </c>
      <c r="Y454" s="9">
        <f aca="true" t="shared" si="80" ref="Y454:Y459">Y453+B454</f>
        <v>34944</v>
      </c>
      <c r="Z454" s="9">
        <f aca="true" t="shared" si="81" ref="Z454:AS459">Z453+C454</f>
        <v>35488</v>
      </c>
      <c r="AA454" s="9">
        <f t="shared" si="81"/>
        <v>36863</v>
      </c>
      <c r="AB454" s="9">
        <f t="shared" si="81"/>
        <v>37865</v>
      </c>
      <c r="AC454" s="9">
        <f t="shared" si="81"/>
        <v>39039</v>
      </c>
      <c r="AD454" s="9">
        <f t="shared" si="81"/>
        <v>40987</v>
      </c>
      <c r="AE454" s="9">
        <f t="shared" si="81"/>
        <v>42092</v>
      </c>
      <c r="AF454" s="9">
        <f t="shared" si="81"/>
        <v>42776</v>
      </c>
      <c r="AG454" s="9">
        <f t="shared" si="81"/>
        <v>44776</v>
      </c>
      <c r="AH454" s="9">
        <f t="shared" si="81"/>
        <v>45660</v>
      </c>
      <c r="AI454" s="9">
        <f t="shared" si="81"/>
        <v>49225</v>
      </c>
      <c r="AJ454" s="9">
        <f t="shared" si="81"/>
        <v>51059</v>
      </c>
      <c r="AK454" s="9">
        <f t="shared" si="81"/>
        <v>52464</v>
      </c>
      <c r="AL454" s="9">
        <f t="shared" si="81"/>
        <v>52982</v>
      </c>
      <c r="AM454" s="9">
        <f t="shared" si="81"/>
        <v>54293</v>
      </c>
      <c r="AN454" s="9">
        <f t="shared" si="81"/>
        <v>56001</v>
      </c>
      <c r="AO454" s="9">
        <f t="shared" si="81"/>
        <v>57736</v>
      </c>
      <c r="AP454" s="9">
        <f t="shared" si="81"/>
        <v>60718</v>
      </c>
      <c r="AQ454" s="9">
        <f t="shared" si="81"/>
        <v>62802</v>
      </c>
      <c r="AR454" s="9">
        <f t="shared" si="81"/>
        <v>62595</v>
      </c>
      <c r="AS454" s="9">
        <f t="shared" si="81"/>
        <v>64750</v>
      </c>
    </row>
    <row r="455" spans="1:45" ht="12.75">
      <c r="A455" s="18" t="s">
        <v>119</v>
      </c>
      <c r="B455" s="9">
        <v>11900</v>
      </c>
      <c r="C455" s="9">
        <v>12233</v>
      </c>
      <c r="D455" s="9">
        <v>12583</v>
      </c>
      <c r="E455" s="9">
        <v>12713</v>
      </c>
      <c r="F455" s="9">
        <v>12954</v>
      </c>
      <c r="G455" s="9">
        <v>13282</v>
      </c>
      <c r="H455" s="9">
        <v>13629</v>
      </c>
      <c r="I455" s="9">
        <v>13816</v>
      </c>
      <c r="J455" s="9">
        <v>14461</v>
      </c>
      <c r="K455" s="9">
        <v>15032</v>
      </c>
      <c r="L455" s="9">
        <v>15445</v>
      </c>
      <c r="M455" s="9">
        <v>16054</v>
      </c>
      <c r="N455" s="9">
        <v>16229</v>
      </c>
      <c r="O455" s="9">
        <v>16290</v>
      </c>
      <c r="P455" s="9">
        <v>16306</v>
      </c>
      <c r="Q455" s="9">
        <v>16623</v>
      </c>
      <c r="R455" s="9">
        <v>16507</v>
      </c>
      <c r="S455" s="9">
        <v>16643</v>
      </c>
      <c r="T455" s="9">
        <v>17178</v>
      </c>
      <c r="U455" s="9">
        <v>17326</v>
      </c>
      <c r="V455" s="9">
        <v>17314</v>
      </c>
      <c r="X455" s="18" t="s">
        <v>119</v>
      </c>
      <c r="Y455" s="9">
        <f t="shared" si="80"/>
        <v>46844</v>
      </c>
      <c r="Z455" s="9">
        <f t="shared" si="81"/>
        <v>47721</v>
      </c>
      <c r="AA455" s="9">
        <f t="shared" si="81"/>
        <v>49446</v>
      </c>
      <c r="AB455" s="9">
        <f t="shared" si="81"/>
        <v>50578</v>
      </c>
      <c r="AC455" s="9">
        <f t="shared" si="81"/>
        <v>51993</v>
      </c>
      <c r="AD455" s="9">
        <f t="shared" si="81"/>
        <v>54269</v>
      </c>
      <c r="AE455" s="9">
        <f t="shared" si="81"/>
        <v>55721</v>
      </c>
      <c r="AF455" s="9">
        <f t="shared" si="81"/>
        <v>56592</v>
      </c>
      <c r="AG455" s="9">
        <f t="shared" si="81"/>
        <v>59237</v>
      </c>
      <c r="AH455" s="9">
        <f t="shared" si="81"/>
        <v>60692</v>
      </c>
      <c r="AI455" s="9">
        <f t="shared" si="81"/>
        <v>64670</v>
      </c>
      <c r="AJ455" s="9">
        <f t="shared" si="81"/>
        <v>67113</v>
      </c>
      <c r="AK455" s="9">
        <f t="shared" si="81"/>
        <v>68693</v>
      </c>
      <c r="AL455" s="9">
        <f t="shared" si="81"/>
        <v>69272</v>
      </c>
      <c r="AM455" s="9">
        <f t="shared" si="81"/>
        <v>70599</v>
      </c>
      <c r="AN455" s="9">
        <f t="shared" si="81"/>
        <v>72624</v>
      </c>
      <c r="AO455" s="9">
        <f t="shared" si="81"/>
        <v>74243</v>
      </c>
      <c r="AP455" s="9">
        <f t="shared" si="81"/>
        <v>77361</v>
      </c>
      <c r="AQ455" s="9">
        <f t="shared" si="81"/>
        <v>79980</v>
      </c>
      <c r="AR455" s="9">
        <f t="shared" si="81"/>
        <v>79921</v>
      </c>
      <c r="AS455" s="9">
        <f t="shared" si="81"/>
        <v>82064</v>
      </c>
    </row>
    <row r="456" spans="1:45" ht="12.75">
      <c r="A456" s="18" t="s">
        <v>120</v>
      </c>
      <c r="B456" s="9">
        <v>10433</v>
      </c>
      <c r="C456" s="9">
        <v>10994</v>
      </c>
      <c r="D456" s="9">
        <v>11261</v>
      </c>
      <c r="E456" s="9">
        <v>11632</v>
      </c>
      <c r="F456" s="9">
        <v>11937</v>
      </c>
      <c r="G456" s="9">
        <v>12116</v>
      </c>
      <c r="H456" s="9">
        <v>12262</v>
      </c>
      <c r="I456" s="9">
        <v>12841</v>
      </c>
      <c r="J456" s="9">
        <v>13418</v>
      </c>
      <c r="K456" s="9">
        <v>13774</v>
      </c>
      <c r="L456" s="9">
        <v>13956</v>
      </c>
      <c r="M456" s="9">
        <v>14177</v>
      </c>
      <c r="N456" s="9">
        <v>14606</v>
      </c>
      <c r="O456" s="9">
        <v>14140</v>
      </c>
      <c r="P456" s="9">
        <v>14396</v>
      </c>
      <c r="Q456" s="9">
        <v>14907</v>
      </c>
      <c r="R456" s="9">
        <v>14889</v>
      </c>
      <c r="S456" s="9">
        <v>15210</v>
      </c>
      <c r="T456" s="9">
        <v>15619</v>
      </c>
      <c r="U456" s="9">
        <v>15319</v>
      </c>
      <c r="V456" s="9">
        <v>15828</v>
      </c>
      <c r="X456" s="18" t="s">
        <v>120</v>
      </c>
      <c r="Y456" s="9">
        <f t="shared" si="80"/>
        <v>57277</v>
      </c>
      <c r="Z456" s="9">
        <f t="shared" si="81"/>
        <v>58715</v>
      </c>
      <c r="AA456" s="9">
        <f t="shared" si="81"/>
        <v>60707</v>
      </c>
      <c r="AB456" s="9">
        <f t="shared" si="81"/>
        <v>62210</v>
      </c>
      <c r="AC456" s="9">
        <f t="shared" si="81"/>
        <v>63930</v>
      </c>
      <c r="AD456" s="9">
        <f t="shared" si="81"/>
        <v>66385</v>
      </c>
      <c r="AE456" s="9">
        <f t="shared" si="81"/>
        <v>67983</v>
      </c>
      <c r="AF456" s="9">
        <f t="shared" si="81"/>
        <v>69433</v>
      </c>
      <c r="AG456" s="9">
        <f t="shared" si="81"/>
        <v>72655</v>
      </c>
      <c r="AH456" s="9">
        <f t="shared" si="81"/>
        <v>74466</v>
      </c>
      <c r="AI456" s="9">
        <f t="shared" si="81"/>
        <v>78626</v>
      </c>
      <c r="AJ456" s="9">
        <f t="shared" si="81"/>
        <v>81290</v>
      </c>
      <c r="AK456" s="9">
        <f t="shared" si="81"/>
        <v>83299</v>
      </c>
      <c r="AL456" s="9">
        <f t="shared" si="81"/>
        <v>83412</v>
      </c>
      <c r="AM456" s="9">
        <f t="shared" si="81"/>
        <v>84995</v>
      </c>
      <c r="AN456" s="9">
        <f t="shared" si="81"/>
        <v>87531</v>
      </c>
      <c r="AO456" s="9">
        <f t="shared" si="81"/>
        <v>89132</v>
      </c>
      <c r="AP456" s="9">
        <f t="shared" si="81"/>
        <v>92571</v>
      </c>
      <c r="AQ456" s="9">
        <f t="shared" si="81"/>
        <v>95599</v>
      </c>
      <c r="AR456" s="9">
        <f t="shared" si="81"/>
        <v>95240</v>
      </c>
      <c r="AS456" s="9">
        <f t="shared" si="81"/>
        <v>97892</v>
      </c>
    </row>
    <row r="457" spans="1:45" ht="12.75">
      <c r="A457" s="18" t="s">
        <v>121</v>
      </c>
      <c r="B457" s="9">
        <v>6293</v>
      </c>
      <c r="C457" s="9">
        <v>6367</v>
      </c>
      <c r="D457" s="9">
        <v>6306</v>
      </c>
      <c r="E457" s="9">
        <v>6518</v>
      </c>
      <c r="F457" s="9">
        <v>6417</v>
      </c>
      <c r="G457" s="9">
        <v>6166</v>
      </c>
      <c r="H457" s="9">
        <v>6224</v>
      </c>
      <c r="I457" s="9">
        <v>6189</v>
      </c>
      <c r="J457" s="9">
        <v>6413</v>
      </c>
      <c r="K457" s="9">
        <v>6216</v>
      </c>
      <c r="L457" s="9">
        <v>6291</v>
      </c>
      <c r="M457" s="9">
        <v>6260</v>
      </c>
      <c r="N457" s="9">
        <v>6617</v>
      </c>
      <c r="O457" s="9">
        <v>6244</v>
      </c>
      <c r="P457" s="9">
        <v>6272</v>
      </c>
      <c r="Q457" s="9">
        <v>6515</v>
      </c>
      <c r="R457" s="9">
        <v>6487</v>
      </c>
      <c r="S457" s="9">
        <v>6652</v>
      </c>
      <c r="T457" s="9">
        <v>6846</v>
      </c>
      <c r="U457" s="9">
        <v>6846</v>
      </c>
      <c r="V457" s="9">
        <v>7003</v>
      </c>
      <c r="X457" s="18" t="s">
        <v>121</v>
      </c>
      <c r="Y457" s="9">
        <f t="shared" si="80"/>
        <v>63570</v>
      </c>
      <c r="Z457" s="9">
        <f t="shared" si="81"/>
        <v>65082</v>
      </c>
      <c r="AA457" s="9">
        <f t="shared" si="81"/>
        <v>67013</v>
      </c>
      <c r="AB457" s="9">
        <f t="shared" si="81"/>
        <v>68728</v>
      </c>
      <c r="AC457" s="9">
        <f t="shared" si="81"/>
        <v>70347</v>
      </c>
      <c r="AD457" s="9">
        <f t="shared" si="81"/>
        <v>72551</v>
      </c>
      <c r="AE457" s="9">
        <f t="shared" si="81"/>
        <v>74207</v>
      </c>
      <c r="AF457" s="9">
        <f t="shared" si="81"/>
        <v>75622</v>
      </c>
      <c r="AG457" s="9">
        <f t="shared" si="81"/>
        <v>79068</v>
      </c>
      <c r="AH457" s="9">
        <f t="shared" si="81"/>
        <v>80682</v>
      </c>
      <c r="AI457" s="9">
        <f t="shared" si="81"/>
        <v>84917</v>
      </c>
      <c r="AJ457" s="9">
        <f t="shared" si="81"/>
        <v>87550</v>
      </c>
      <c r="AK457" s="9">
        <f t="shared" si="81"/>
        <v>89916</v>
      </c>
      <c r="AL457" s="9">
        <f t="shared" si="81"/>
        <v>89656</v>
      </c>
      <c r="AM457" s="9">
        <f t="shared" si="81"/>
        <v>91267</v>
      </c>
      <c r="AN457" s="9">
        <f t="shared" si="81"/>
        <v>94046</v>
      </c>
      <c r="AO457" s="9">
        <f t="shared" si="81"/>
        <v>95619</v>
      </c>
      <c r="AP457" s="9">
        <f t="shared" si="81"/>
        <v>99223</v>
      </c>
      <c r="AQ457" s="9">
        <f t="shared" si="81"/>
        <v>102445</v>
      </c>
      <c r="AR457" s="9">
        <f t="shared" si="81"/>
        <v>102086</v>
      </c>
      <c r="AS457" s="9">
        <f t="shared" si="81"/>
        <v>104895</v>
      </c>
    </row>
    <row r="458" spans="1:45" ht="12.75">
      <c r="A458" s="18" t="s">
        <v>122</v>
      </c>
      <c r="B458" s="9">
        <v>3094</v>
      </c>
      <c r="C458" s="9">
        <v>3132</v>
      </c>
      <c r="D458" s="9">
        <v>3057</v>
      </c>
      <c r="E458" s="9">
        <v>3029</v>
      </c>
      <c r="F458" s="9">
        <v>2873</v>
      </c>
      <c r="G458" s="9">
        <v>2705</v>
      </c>
      <c r="H458" s="9">
        <v>2611</v>
      </c>
      <c r="I458" s="9">
        <v>2695</v>
      </c>
      <c r="J458" s="9">
        <v>2458</v>
      </c>
      <c r="K458" s="9">
        <v>2431</v>
      </c>
      <c r="L458" s="9">
        <v>2185</v>
      </c>
      <c r="M458" s="9">
        <v>2048</v>
      </c>
      <c r="N458" s="9">
        <v>2339</v>
      </c>
      <c r="O458" s="9">
        <v>2107</v>
      </c>
      <c r="P458" s="9">
        <v>2176</v>
      </c>
      <c r="Q458" s="9">
        <v>2370</v>
      </c>
      <c r="R458" s="9">
        <v>2374</v>
      </c>
      <c r="S458" s="9">
        <v>2280</v>
      </c>
      <c r="T458" s="9">
        <v>2367</v>
      </c>
      <c r="U458" s="9">
        <v>2414</v>
      </c>
      <c r="V458" s="9">
        <v>2552</v>
      </c>
      <c r="X458" s="18" t="s">
        <v>122</v>
      </c>
      <c r="Y458" s="9">
        <f t="shared" si="80"/>
        <v>66664</v>
      </c>
      <c r="Z458" s="9">
        <f t="shared" si="81"/>
        <v>68214</v>
      </c>
      <c r="AA458" s="9">
        <f t="shared" si="81"/>
        <v>70070</v>
      </c>
      <c r="AB458" s="9">
        <f t="shared" si="81"/>
        <v>71757</v>
      </c>
      <c r="AC458" s="9">
        <f t="shared" si="81"/>
        <v>73220</v>
      </c>
      <c r="AD458" s="9">
        <f t="shared" si="81"/>
        <v>75256</v>
      </c>
      <c r="AE458" s="9">
        <f t="shared" si="81"/>
        <v>76818</v>
      </c>
      <c r="AF458" s="9">
        <f t="shared" si="81"/>
        <v>78317</v>
      </c>
      <c r="AG458" s="9">
        <f t="shared" si="81"/>
        <v>81526</v>
      </c>
      <c r="AH458" s="9">
        <f t="shared" si="81"/>
        <v>83113</v>
      </c>
      <c r="AI458" s="9">
        <f t="shared" si="81"/>
        <v>87102</v>
      </c>
      <c r="AJ458" s="9">
        <f t="shared" si="81"/>
        <v>89598</v>
      </c>
      <c r="AK458" s="9">
        <f t="shared" si="81"/>
        <v>92255</v>
      </c>
      <c r="AL458" s="9">
        <f t="shared" si="81"/>
        <v>91763</v>
      </c>
      <c r="AM458" s="9">
        <f t="shared" si="81"/>
        <v>93443</v>
      </c>
      <c r="AN458" s="9">
        <f t="shared" si="81"/>
        <v>96416</v>
      </c>
      <c r="AO458" s="9">
        <f t="shared" si="81"/>
        <v>97993</v>
      </c>
      <c r="AP458" s="9">
        <f t="shared" si="81"/>
        <v>101503</v>
      </c>
      <c r="AQ458" s="9">
        <f t="shared" si="81"/>
        <v>104812</v>
      </c>
      <c r="AR458" s="9">
        <f t="shared" si="81"/>
        <v>104500</v>
      </c>
      <c r="AS458" s="9">
        <f t="shared" si="81"/>
        <v>107447</v>
      </c>
    </row>
    <row r="459" spans="1:45" ht="12.75">
      <c r="A459" s="18" t="s">
        <v>123</v>
      </c>
      <c r="B459" s="9">
        <v>2673</v>
      </c>
      <c r="C459" s="9">
        <v>2616</v>
      </c>
      <c r="D459" s="9">
        <v>2455</v>
      </c>
      <c r="E459" s="9">
        <v>2248</v>
      </c>
      <c r="F459" s="9">
        <v>2059</v>
      </c>
      <c r="G459" s="9">
        <v>1912</v>
      </c>
      <c r="H459" s="9">
        <v>1754</v>
      </c>
      <c r="I459" s="9">
        <v>1755</v>
      </c>
      <c r="J459" s="9">
        <v>1651</v>
      </c>
      <c r="K459" s="9">
        <v>1524</v>
      </c>
      <c r="L459" s="9">
        <v>1324</v>
      </c>
      <c r="M459" s="9">
        <v>1289</v>
      </c>
      <c r="N459" s="9">
        <v>1429</v>
      </c>
      <c r="O459" s="9">
        <v>1384</v>
      </c>
      <c r="P459" s="9">
        <v>1280</v>
      </c>
      <c r="Q459" s="9">
        <v>1278</v>
      </c>
      <c r="R459" s="9">
        <v>1494</v>
      </c>
      <c r="S459" s="9">
        <v>1300</v>
      </c>
      <c r="T459" s="9">
        <v>1449</v>
      </c>
      <c r="U459" s="9">
        <v>1343</v>
      </c>
      <c r="V459" s="9">
        <v>1425</v>
      </c>
      <c r="X459" s="18" t="s">
        <v>123</v>
      </c>
      <c r="Y459" s="9">
        <f t="shared" si="80"/>
        <v>69337</v>
      </c>
      <c r="Z459" s="9">
        <f t="shared" si="81"/>
        <v>70830</v>
      </c>
      <c r="AA459" s="9">
        <f t="shared" si="81"/>
        <v>72525</v>
      </c>
      <c r="AB459" s="9">
        <f t="shared" si="81"/>
        <v>74005</v>
      </c>
      <c r="AC459" s="9">
        <f t="shared" si="81"/>
        <v>75279</v>
      </c>
      <c r="AD459" s="9">
        <f t="shared" si="81"/>
        <v>77168</v>
      </c>
      <c r="AE459" s="9">
        <f t="shared" si="81"/>
        <v>78572</v>
      </c>
      <c r="AF459" s="9">
        <f t="shared" si="81"/>
        <v>80072</v>
      </c>
      <c r="AG459" s="9">
        <f t="shared" si="81"/>
        <v>83177</v>
      </c>
      <c r="AH459" s="9">
        <f t="shared" si="81"/>
        <v>84637</v>
      </c>
      <c r="AI459" s="9">
        <f t="shared" si="81"/>
        <v>88426</v>
      </c>
      <c r="AJ459" s="9">
        <f t="shared" si="81"/>
        <v>90887</v>
      </c>
      <c r="AK459" s="9">
        <f t="shared" si="81"/>
        <v>93684</v>
      </c>
      <c r="AL459" s="9">
        <f t="shared" si="81"/>
        <v>93147</v>
      </c>
      <c r="AM459" s="9">
        <f t="shared" si="81"/>
        <v>94723</v>
      </c>
      <c r="AN459" s="9">
        <f t="shared" si="81"/>
        <v>97694</v>
      </c>
      <c r="AO459" s="9">
        <f t="shared" si="81"/>
        <v>99487</v>
      </c>
      <c r="AP459" s="9">
        <f t="shared" si="81"/>
        <v>102803</v>
      </c>
      <c r="AQ459" s="9">
        <f t="shared" si="81"/>
        <v>106261</v>
      </c>
      <c r="AR459" s="9">
        <f t="shared" si="81"/>
        <v>105843</v>
      </c>
      <c r="AS459" s="9">
        <f t="shared" si="81"/>
        <v>108872</v>
      </c>
    </row>
    <row r="460" spans="1:45" ht="12.75">
      <c r="A460" s="18" t="s">
        <v>86</v>
      </c>
      <c r="L460" s="9">
        <v>2.3</v>
      </c>
      <c r="M460" s="30">
        <v>2.3</v>
      </c>
      <c r="N460" s="30">
        <v>2.3</v>
      </c>
      <c r="O460" s="30">
        <v>2.3</v>
      </c>
      <c r="P460" s="30">
        <v>2.3</v>
      </c>
      <c r="Q460" s="30">
        <v>2.3</v>
      </c>
      <c r="R460" s="32">
        <v>2.3</v>
      </c>
      <c r="S460" s="10"/>
      <c r="T460" s="10"/>
      <c r="U460" s="10"/>
      <c r="V460" s="10"/>
      <c r="Y460" s="9">
        <f>Y459/2</f>
        <v>34668.5</v>
      </c>
      <c r="Z460" s="9">
        <f aca="true" t="shared" si="82" ref="Z460:AS460">Z459/2</f>
        <v>35415</v>
      </c>
      <c r="AA460" s="9">
        <f t="shared" si="82"/>
        <v>36262.5</v>
      </c>
      <c r="AB460" s="9">
        <f t="shared" si="82"/>
        <v>37002.5</v>
      </c>
      <c r="AC460" s="9">
        <f t="shared" si="82"/>
        <v>37639.5</v>
      </c>
      <c r="AD460" s="9">
        <f t="shared" si="82"/>
        <v>38584</v>
      </c>
      <c r="AE460" s="9">
        <f t="shared" si="82"/>
        <v>39286</v>
      </c>
      <c r="AF460" s="9">
        <f t="shared" si="82"/>
        <v>40036</v>
      </c>
      <c r="AG460" s="9">
        <f t="shared" si="82"/>
        <v>41588.5</v>
      </c>
      <c r="AH460" s="9">
        <f t="shared" si="82"/>
        <v>42318.5</v>
      </c>
      <c r="AI460" s="9">
        <f t="shared" si="82"/>
        <v>44213</v>
      </c>
      <c r="AJ460" s="9">
        <f t="shared" si="82"/>
        <v>45443.5</v>
      </c>
      <c r="AK460" s="9">
        <f t="shared" si="82"/>
        <v>46842</v>
      </c>
      <c r="AL460" s="9">
        <f t="shared" si="82"/>
        <v>46573.5</v>
      </c>
      <c r="AM460" s="9">
        <f t="shared" si="82"/>
        <v>47361.5</v>
      </c>
      <c r="AN460" s="9">
        <f t="shared" si="82"/>
        <v>48847</v>
      </c>
      <c r="AO460" s="9">
        <f t="shared" si="82"/>
        <v>49743.5</v>
      </c>
      <c r="AP460" s="9">
        <f t="shared" si="82"/>
        <v>51401.5</v>
      </c>
      <c r="AQ460" s="9">
        <f t="shared" si="82"/>
        <v>53130.5</v>
      </c>
      <c r="AR460" s="9">
        <f t="shared" si="82"/>
        <v>52921.5</v>
      </c>
      <c r="AS460" s="9">
        <f t="shared" si="82"/>
        <v>54436</v>
      </c>
    </row>
    <row r="461" spans="18:45" ht="12.75">
      <c r="R461" s="10"/>
      <c r="S461" s="10"/>
      <c r="T461" s="10"/>
      <c r="U461" s="10"/>
      <c r="V461" s="10"/>
      <c r="Y461" s="30">
        <f aca="true" t="shared" si="83" ref="Y461:AH461">1.5+(Y460-Y453)/(Y454-Y453)</f>
        <v>2.486902781079154</v>
      </c>
      <c r="Z461" s="30">
        <f t="shared" si="83"/>
        <v>2.4966326860095025</v>
      </c>
      <c r="AA461" s="30">
        <f t="shared" si="83"/>
        <v>2.4733111111111112</v>
      </c>
      <c r="AB461" s="30">
        <f t="shared" si="83"/>
        <v>2.462543970122031</v>
      </c>
      <c r="AC461" s="30">
        <f t="shared" si="83"/>
        <v>2.439788323366175</v>
      </c>
      <c r="AD461" s="30">
        <f t="shared" si="83"/>
        <v>2.3991564899911872</v>
      </c>
      <c r="AE461" s="30">
        <f t="shared" si="83"/>
        <v>2.384796978281398</v>
      </c>
      <c r="AF461" s="30">
        <f t="shared" si="83"/>
        <v>2.39056633916447</v>
      </c>
      <c r="AG461" s="30">
        <f t="shared" si="83"/>
        <v>2.3779296875</v>
      </c>
      <c r="AH461" s="30">
        <f t="shared" si="83"/>
        <v>2.37472819974507</v>
      </c>
      <c r="AI461" s="30">
        <f>1.5+(AI460-AI453)/(AI454-AI453)</f>
        <v>2.322508676251859</v>
      </c>
      <c r="AJ461" s="30">
        <f>1.5+(AJ460-AJ453)/(AJ454-AJ453)</f>
        <v>2.3070871551753753</v>
      </c>
      <c r="AK461" s="30">
        <f aca="true" t="shared" si="84" ref="AK461:AS461">1.5+(AK460-AK453)/(AK454-AK453)</f>
        <v>2.3132722200079714</v>
      </c>
      <c r="AL461" s="30">
        <f t="shared" si="84"/>
        <v>2.2904965837392526</v>
      </c>
      <c r="AM461" s="30">
        <f t="shared" si="84"/>
        <v>2.2785746230513673</v>
      </c>
      <c r="AN461" s="30">
        <f t="shared" si="84"/>
        <v>2.2759544016786197</v>
      </c>
      <c r="AO461" s="30">
        <f t="shared" si="84"/>
        <v>2.253872447879777</v>
      </c>
      <c r="AP461" s="30">
        <f t="shared" si="84"/>
        <v>2.2245024691723096</v>
      </c>
      <c r="AQ461" s="30">
        <f t="shared" si="84"/>
        <v>2.2209043950018756</v>
      </c>
      <c r="AR461" s="30">
        <f t="shared" si="84"/>
        <v>2.218989658377876</v>
      </c>
      <c r="AS461" s="30">
        <f t="shared" si="84"/>
        <v>2.2100283955129467</v>
      </c>
    </row>
    <row r="462" spans="1:41" ht="12.75">
      <c r="A462" s="18" t="s">
        <v>124</v>
      </c>
      <c r="R462" s="10"/>
      <c r="S462" s="10"/>
      <c r="T462" s="10"/>
      <c r="U462" s="10"/>
      <c r="V462" s="10"/>
      <c r="AI462" s="9">
        <v>2.3</v>
      </c>
      <c r="AJ462" s="30">
        <v>2.3</v>
      </c>
      <c r="AK462" s="30">
        <v>2.3</v>
      </c>
      <c r="AL462" s="30">
        <v>2.3</v>
      </c>
      <c r="AM462" s="30">
        <v>2.3</v>
      </c>
      <c r="AN462" s="30">
        <v>2.3</v>
      </c>
      <c r="AO462" s="30">
        <v>2.3</v>
      </c>
    </row>
    <row r="463" spans="1:41" ht="12.75">
      <c r="A463" s="18" t="s">
        <v>126</v>
      </c>
      <c r="B463" s="9">
        <v>13909</v>
      </c>
      <c r="C463" s="9">
        <v>13809</v>
      </c>
      <c r="D463" s="9">
        <v>14363</v>
      </c>
      <c r="E463" s="9">
        <v>14838</v>
      </c>
      <c r="F463" s="9">
        <v>15796</v>
      </c>
      <c r="G463" s="9">
        <v>17158</v>
      </c>
      <c r="H463" s="9">
        <v>17735</v>
      </c>
      <c r="I463" s="9">
        <v>17738</v>
      </c>
      <c r="J463" s="9">
        <v>18664</v>
      </c>
      <c r="K463" s="9">
        <v>18986</v>
      </c>
      <c r="L463" s="9">
        <v>20987</v>
      </c>
      <c r="M463" s="9">
        <v>21950</v>
      </c>
      <c r="N463" s="9">
        <v>22356</v>
      </c>
      <c r="O463" s="9">
        <v>22393</v>
      </c>
      <c r="P463" s="9">
        <v>22989</v>
      </c>
      <c r="Q463" s="9">
        <v>24070</v>
      </c>
      <c r="R463" s="9">
        <v>25263</v>
      </c>
      <c r="S463" s="9">
        <v>26901</v>
      </c>
      <c r="T463" s="9">
        <v>28149</v>
      </c>
      <c r="U463" s="9">
        <v>28171</v>
      </c>
      <c r="V463" s="9">
        <v>29181</v>
      </c>
      <c r="AN463" s="9"/>
      <c r="AO463" s="9"/>
    </row>
    <row r="464" spans="1:41" ht="25.5">
      <c r="A464" s="29" t="s">
        <v>125</v>
      </c>
      <c r="B464" s="9">
        <v>45520</v>
      </c>
      <c r="C464" s="9">
        <v>46630</v>
      </c>
      <c r="D464" s="9">
        <v>46944</v>
      </c>
      <c r="E464" s="9">
        <v>47399</v>
      </c>
      <c r="F464" s="9">
        <v>47022</v>
      </c>
      <c r="G464" s="9">
        <v>46657</v>
      </c>
      <c r="H464" s="9">
        <v>47121</v>
      </c>
      <c r="I464" s="9">
        <v>47327</v>
      </c>
      <c r="J464" s="9">
        <v>49959</v>
      </c>
      <c r="K464" s="9">
        <v>50521</v>
      </c>
      <c r="L464" s="9">
        <v>49972</v>
      </c>
      <c r="M464" s="9">
        <v>50491</v>
      </c>
      <c r="N464" s="9">
        <v>50217</v>
      </c>
      <c r="O464" s="9">
        <v>49745</v>
      </c>
      <c r="P464" s="9">
        <v>49683</v>
      </c>
      <c r="Q464" s="9">
        <v>50757</v>
      </c>
      <c r="R464" s="9">
        <v>52258</v>
      </c>
      <c r="S464" s="9">
        <v>53169</v>
      </c>
      <c r="T464" s="9">
        <v>53710</v>
      </c>
      <c r="U464" s="9">
        <v>53542</v>
      </c>
      <c r="V464" s="9">
        <v>54668</v>
      </c>
      <c r="AN464" s="9"/>
      <c r="AO464" s="9"/>
    </row>
    <row r="465" spans="1:41" ht="12.75">
      <c r="A465" s="18" t="s">
        <v>127</v>
      </c>
      <c r="B465" s="9">
        <v>3032</v>
      </c>
      <c r="C465" s="9">
        <v>2800</v>
      </c>
      <c r="D465" s="9">
        <v>3141</v>
      </c>
      <c r="E465" s="9">
        <v>3359</v>
      </c>
      <c r="F465" s="9">
        <v>3718</v>
      </c>
      <c r="G465" s="9">
        <v>3879</v>
      </c>
      <c r="H465" s="9">
        <v>4022</v>
      </c>
      <c r="I465" s="9">
        <v>4264</v>
      </c>
      <c r="J465" s="9">
        <v>4675</v>
      </c>
      <c r="K465" s="9">
        <v>4840</v>
      </c>
      <c r="L465" s="9">
        <v>5661</v>
      </c>
      <c r="M465" s="9">
        <v>6067</v>
      </c>
      <c r="N465" s="9">
        <v>7542</v>
      </c>
      <c r="O465" s="9">
        <v>7298</v>
      </c>
      <c r="P465" s="9">
        <v>7765</v>
      </c>
      <c r="Q465" s="9">
        <v>7971</v>
      </c>
      <c r="R465" s="9">
        <v>7716</v>
      </c>
      <c r="S465" s="9">
        <v>8035</v>
      </c>
      <c r="T465" s="9">
        <v>8581</v>
      </c>
      <c r="U465" s="9">
        <v>8501</v>
      </c>
      <c r="V465" s="9">
        <v>8897</v>
      </c>
      <c r="AN465" s="9"/>
      <c r="AO465" s="9"/>
    </row>
    <row r="466" spans="1:41" ht="12.75">
      <c r="A466" s="18" t="s">
        <v>128</v>
      </c>
      <c r="B466" s="9">
        <v>6877</v>
      </c>
      <c r="C466" s="9">
        <v>7590</v>
      </c>
      <c r="D466" s="9">
        <v>8075</v>
      </c>
      <c r="E466" s="9">
        <v>8409</v>
      </c>
      <c r="F466" s="9">
        <v>8744</v>
      </c>
      <c r="G466" s="9">
        <v>9473</v>
      </c>
      <c r="H466" s="9">
        <v>9694</v>
      </c>
      <c r="I466" s="9">
        <v>10743</v>
      </c>
      <c r="J466" s="9">
        <v>9877</v>
      </c>
      <c r="K466" s="9">
        <v>10291</v>
      </c>
      <c r="L466" s="9">
        <v>11806</v>
      </c>
      <c r="M466" s="9">
        <v>12379</v>
      </c>
      <c r="N466" s="9">
        <v>13568</v>
      </c>
      <c r="O466" s="9">
        <v>13712</v>
      </c>
      <c r="P466" s="9">
        <v>14287</v>
      </c>
      <c r="Q466" s="9">
        <v>14895</v>
      </c>
      <c r="R466" s="9">
        <v>14250</v>
      </c>
      <c r="S466" s="9">
        <v>14697</v>
      </c>
      <c r="T466" s="9">
        <v>15821</v>
      </c>
      <c r="U466" s="9">
        <v>15629</v>
      </c>
      <c r="V466" s="9">
        <v>16125</v>
      </c>
      <c r="AN466" s="9"/>
      <c r="AO466" s="9"/>
    </row>
    <row r="467" spans="18:41" ht="12.75">
      <c r="R467" s="10"/>
      <c r="S467" s="10"/>
      <c r="T467" s="10"/>
      <c r="U467" s="10"/>
      <c r="V467" s="10"/>
      <c r="AN467" s="9"/>
      <c r="AO467" s="9"/>
    </row>
    <row r="468" spans="1:41" ht="12.75">
      <c r="A468" s="2" t="s">
        <v>62</v>
      </c>
      <c r="R468" s="10"/>
      <c r="S468" s="10"/>
      <c r="T468" s="10"/>
      <c r="U468" s="10"/>
      <c r="V468" s="10"/>
      <c r="AN468" s="9"/>
      <c r="AO468" s="9"/>
    </row>
    <row r="469" spans="1:41" ht="12.75">
      <c r="A469" s="2" t="s">
        <v>63</v>
      </c>
      <c r="B469" s="9">
        <v>29491</v>
      </c>
      <c r="C469" s="9">
        <v>29827</v>
      </c>
      <c r="D469" s="9">
        <v>29888</v>
      </c>
      <c r="E469" s="9">
        <v>30279</v>
      </c>
      <c r="F469" s="9">
        <v>30346</v>
      </c>
      <c r="G469" s="9">
        <v>30352</v>
      </c>
      <c r="H469" s="9">
        <v>30476</v>
      </c>
      <c r="I469" s="9">
        <v>30773</v>
      </c>
      <c r="J469" s="9">
        <v>31277</v>
      </c>
      <c r="K469" s="9">
        <v>31273</v>
      </c>
      <c r="L469" s="9">
        <v>33964</v>
      </c>
      <c r="M469" s="9">
        <v>34213</v>
      </c>
      <c r="N469" s="9">
        <v>35704</v>
      </c>
      <c r="O469" s="9">
        <v>34588</v>
      </c>
      <c r="P469" s="9">
        <v>35429</v>
      </c>
      <c r="Q469" s="9">
        <v>37236</v>
      </c>
      <c r="R469" s="9">
        <v>36869</v>
      </c>
      <c r="S469" s="9">
        <v>37272</v>
      </c>
      <c r="T469" s="9">
        <v>38682</v>
      </c>
      <c r="U469" s="9">
        <v>38158</v>
      </c>
      <c r="V469" s="9">
        <v>38493</v>
      </c>
      <c r="AN469" s="9"/>
      <c r="AO469" s="9"/>
    </row>
    <row r="470" spans="1:41" ht="12.75">
      <c r="A470" s="5" t="s">
        <v>33</v>
      </c>
      <c r="B470" s="9">
        <v>39846</v>
      </c>
      <c r="C470" s="9">
        <v>41003</v>
      </c>
      <c r="D470" s="9">
        <v>42635</v>
      </c>
      <c r="E470" s="9">
        <v>43726</v>
      </c>
      <c r="F470" s="9">
        <v>44934</v>
      </c>
      <c r="G470" s="9">
        <v>46815</v>
      </c>
      <c r="H470" s="9">
        <v>48096</v>
      </c>
      <c r="I470" s="9">
        <v>49299</v>
      </c>
      <c r="J470" s="9">
        <v>51898</v>
      </c>
      <c r="K470" s="9">
        <v>53365</v>
      </c>
      <c r="L470" s="9">
        <v>54461</v>
      </c>
      <c r="M470" s="9">
        <v>56675</v>
      </c>
      <c r="N470" s="9">
        <v>57979</v>
      </c>
      <c r="O470" s="9">
        <v>58559</v>
      </c>
      <c r="P470" s="9">
        <v>59295</v>
      </c>
      <c r="Q470" s="9">
        <v>60458</v>
      </c>
      <c r="R470" s="9">
        <v>62618</v>
      </c>
      <c r="S470" s="9">
        <v>65530</v>
      </c>
      <c r="T470" s="9">
        <v>67579</v>
      </c>
      <c r="U470" s="9">
        <v>67684</v>
      </c>
      <c r="V470" s="9">
        <v>70378</v>
      </c>
      <c r="AN470" s="9"/>
      <c r="AO470" s="9"/>
    </row>
    <row r="471" spans="1:41" ht="12.75">
      <c r="A471" s="13" t="s">
        <v>86</v>
      </c>
      <c r="B471" s="30"/>
      <c r="C471" s="30"/>
      <c r="E471" s="30"/>
      <c r="F471" s="30"/>
      <c r="G471" s="30"/>
      <c r="H471" s="30"/>
      <c r="I471" s="30"/>
      <c r="J471" s="30"/>
      <c r="K471" s="30"/>
      <c r="L471" s="30">
        <v>0.5</v>
      </c>
      <c r="M471" s="32">
        <v>0.5</v>
      </c>
      <c r="N471" s="32">
        <v>0.5</v>
      </c>
      <c r="O471" s="32">
        <v>0.5</v>
      </c>
      <c r="P471" s="32">
        <v>0.5</v>
      </c>
      <c r="Q471" s="32">
        <v>0.5</v>
      </c>
      <c r="AN471" s="9"/>
      <c r="AO471" s="9"/>
    </row>
    <row r="472" spans="2:41" ht="12.75">
      <c r="B472" s="9">
        <f>B28-SUM(B469:B470)</f>
        <v>0</v>
      </c>
      <c r="R472" s="10"/>
      <c r="S472" s="10"/>
      <c r="T472" s="10"/>
      <c r="U472" s="10"/>
      <c r="V472" s="10"/>
      <c r="AN472" s="9"/>
      <c r="AO472" s="9"/>
    </row>
    <row r="473" spans="18:41" ht="12.75">
      <c r="R473" s="10"/>
      <c r="S473" s="10"/>
      <c r="T473" s="10"/>
      <c r="U473" s="10"/>
      <c r="V473" s="10"/>
      <c r="AN473" s="9"/>
      <c r="AO473" s="9"/>
    </row>
    <row r="474" spans="1:41" ht="12.75">
      <c r="A474" s="2" t="s">
        <v>134</v>
      </c>
      <c r="R474" s="10"/>
      <c r="S474" s="10"/>
      <c r="T474" s="10"/>
      <c r="U474" s="10"/>
      <c r="V474" s="10"/>
      <c r="AN474" s="9"/>
      <c r="AO474" s="9"/>
    </row>
    <row r="475" spans="1:41" ht="12.75">
      <c r="A475" s="2" t="s">
        <v>59</v>
      </c>
      <c r="B475" s="9">
        <v>56006</v>
      </c>
      <c r="C475" s="9">
        <v>57068</v>
      </c>
      <c r="D475" s="9">
        <v>58143</v>
      </c>
      <c r="E475" s="9">
        <v>59167</v>
      </c>
      <c r="F475" s="9">
        <v>60245</v>
      </c>
      <c r="G475" s="9">
        <v>61390</v>
      </c>
      <c r="H475" s="9">
        <v>62361</v>
      </c>
      <c r="I475" s="9">
        <v>63795</v>
      </c>
      <c r="J475" s="9">
        <v>66273</v>
      </c>
      <c r="K475" s="9">
        <v>66863</v>
      </c>
      <c r="L475" s="9">
        <v>69529</v>
      </c>
      <c r="M475" s="9">
        <v>71144</v>
      </c>
      <c r="N475" s="9">
        <v>73582</v>
      </c>
      <c r="O475" s="9">
        <v>72800</v>
      </c>
      <c r="P475" s="9">
        <v>74286</v>
      </c>
      <c r="Q475" s="9">
        <v>76852</v>
      </c>
      <c r="R475" s="9">
        <v>78582</v>
      </c>
      <c r="S475" s="9">
        <v>81381</v>
      </c>
      <c r="T475" s="9">
        <v>84448</v>
      </c>
      <c r="U475" s="9">
        <v>84215</v>
      </c>
      <c r="V475" s="9">
        <v>86675</v>
      </c>
      <c r="AN475" s="9"/>
      <c r="AO475" s="9"/>
    </row>
    <row r="476" spans="1:41" ht="12.75">
      <c r="A476" s="2" t="s">
        <v>60</v>
      </c>
      <c r="L476" s="9">
        <v>11284</v>
      </c>
      <c r="M476" s="9">
        <v>11690</v>
      </c>
      <c r="N476" s="9">
        <v>11781</v>
      </c>
      <c r="O476" s="9">
        <v>11579</v>
      </c>
      <c r="P476" s="9">
        <v>11456</v>
      </c>
      <c r="Q476" s="9">
        <v>11447</v>
      </c>
      <c r="R476" s="9">
        <v>10997</v>
      </c>
      <c r="S476" s="9">
        <v>11041</v>
      </c>
      <c r="T476" s="9">
        <v>10755</v>
      </c>
      <c r="U476" s="9">
        <v>10782</v>
      </c>
      <c r="V476" s="9">
        <v>11082</v>
      </c>
      <c r="AN476" s="9"/>
      <c r="AO476" s="9"/>
    </row>
    <row r="477" spans="1:41" ht="12.75">
      <c r="A477" s="5" t="s">
        <v>61</v>
      </c>
      <c r="L477" s="9">
        <v>7612</v>
      </c>
      <c r="M477" s="9">
        <v>8054</v>
      </c>
      <c r="N477" s="9">
        <v>8319</v>
      </c>
      <c r="O477" s="9">
        <v>8769</v>
      </c>
      <c r="P477" s="9">
        <v>8981</v>
      </c>
      <c r="Q477" s="9">
        <v>9394</v>
      </c>
      <c r="R477" s="9">
        <v>9910</v>
      </c>
      <c r="S477" s="9">
        <v>10382</v>
      </c>
      <c r="T477" s="9">
        <v>11057</v>
      </c>
      <c r="U477" s="9">
        <v>10845</v>
      </c>
      <c r="V477" s="9">
        <v>11115</v>
      </c>
      <c r="AN477" s="9"/>
      <c r="AO477" s="9"/>
    </row>
    <row r="478" spans="1:41" ht="12.75">
      <c r="A478" s="13" t="s">
        <v>144</v>
      </c>
      <c r="B478" s="10">
        <v>13332</v>
      </c>
      <c r="C478" s="10">
        <v>13763</v>
      </c>
      <c r="D478" s="9">
        <v>14382</v>
      </c>
      <c r="E478" s="10">
        <v>14840</v>
      </c>
      <c r="F478" s="10">
        <v>15035</v>
      </c>
      <c r="G478" s="10">
        <v>15775</v>
      </c>
      <c r="H478" s="10">
        <v>16214</v>
      </c>
      <c r="I478" s="10">
        <v>16277</v>
      </c>
      <c r="J478" s="10">
        <v>16903</v>
      </c>
      <c r="K478" s="10">
        <v>17775</v>
      </c>
      <c r="L478" s="10">
        <v>18896</v>
      </c>
      <c r="M478" s="10">
        <v>19744</v>
      </c>
      <c r="N478" s="10">
        <v>20100</v>
      </c>
      <c r="O478" s="10">
        <v>20348</v>
      </c>
      <c r="P478" s="10">
        <v>20437</v>
      </c>
      <c r="Q478" s="10">
        <v>20841</v>
      </c>
      <c r="R478" s="10">
        <v>20907</v>
      </c>
      <c r="S478" s="10">
        <v>21423</v>
      </c>
      <c r="T478" s="10">
        <v>21812</v>
      </c>
      <c r="U478" s="10">
        <v>21627</v>
      </c>
      <c r="V478" s="10">
        <v>22197</v>
      </c>
      <c r="AN478" s="9"/>
      <c r="AO478" s="9"/>
    </row>
    <row r="479" spans="1:41" ht="12.75">
      <c r="A479" s="18" t="s">
        <v>135</v>
      </c>
      <c r="L479" s="9">
        <v>46</v>
      </c>
      <c r="M479" s="9">
        <v>46</v>
      </c>
      <c r="N479" s="9">
        <v>45</v>
      </c>
      <c r="O479" s="9">
        <v>46</v>
      </c>
      <c r="P479" s="9">
        <v>46</v>
      </c>
      <c r="Q479" s="9">
        <v>46</v>
      </c>
      <c r="R479" s="10">
        <v>46</v>
      </c>
      <c r="S479" s="10">
        <v>47</v>
      </c>
      <c r="T479" s="10">
        <v>47</v>
      </c>
      <c r="U479" s="10">
        <v>48</v>
      </c>
      <c r="V479" s="10">
        <v>48</v>
      </c>
      <c r="AN479" s="9"/>
      <c r="AO479" s="9"/>
    </row>
    <row r="480" spans="1:41" ht="12.75">
      <c r="A480" s="5"/>
      <c r="R480" s="10"/>
      <c r="S480" s="10"/>
      <c r="T480" s="10"/>
      <c r="U480" s="10"/>
      <c r="V480" s="10"/>
      <c r="AN480" s="9"/>
      <c r="AO480" s="9"/>
    </row>
    <row r="481" spans="1:41" ht="12.75">
      <c r="A481" s="2" t="s">
        <v>64</v>
      </c>
      <c r="R481" s="10"/>
      <c r="S481" s="10"/>
      <c r="T481" s="10"/>
      <c r="U481" s="10"/>
      <c r="V481" s="10"/>
      <c r="AN481" s="9"/>
      <c r="AO481" s="9"/>
    </row>
    <row r="482" spans="1:41" ht="12.75">
      <c r="A482" s="2" t="s">
        <v>65</v>
      </c>
      <c r="B482" s="9">
        <v>61463</v>
      </c>
      <c r="C482" s="9">
        <v>62562</v>
      </c>
      <c r="D482" s="9">
        <v>63860</v>
      </c>
      <c r="E482" s="9">
        <v>65114</v>
      </c>
      <c r="F482" s="9">
        <v>66111</v>
      </c>
      <c r="G482" s="9">
        <v>67664</v>
      </c>
      <c r="H482" s="9">
        <v>68786</v>
      </c>
      <c r="I482" s="9">
        <v>69922</v>
      </c>
      <c r="J482" s="9">
        <v>72391</v>
      </c>
      <c r="K482" s="9">
        <v>72562</v>
      </c>
      <c r="L482" s="9">
        <v>76266</v>
      </c>
      <c r="M482" s="9">
        <v>78179</v>
      </c>
      <c r="N482" s="9">
        <v>80312</v>
      </c>
      <c r="O482" s="9">
        <v>79140</v>
      </c>
      <c r="P482" s="9">
        <v>80029</v>
      </c>
      <c r="Q482" s="9">
        <v>81611</v>
      </c>
      <c r="R482" s="9">
        <v>82154</v>
      </c>
      <c r="S482" s="9">
        <v>83624</v>
      </c>
      <c r="T482" s="9">
        <v>85292</v>
      </c>
      <c r="U482" s="9">
        <v>87483</v>
      </c>
      <c r="V482" s="9">
        <v>89449</v>
      </c>
      <c r="AN482" s="9"/>
      <c r="AO482" s="9"/>
    </row>
    <row r="483" spans="1:41" ht="12.75">
      <c r="A483" s="2" t="s">
        <v>66</v>
      </c>
      <c r="L483" s="9">
        <v>4523</v>
      </c>
      <c r="M483" s="9">
        <v>5032</v>
      </c>
      <c r="N483" s="9">
        <v>5619</v>
      </c>
      <c r="O483" s="9">
        <v>5515</v>
      </c>
      <c r="P483" s="9">
        <v>5749</v>
      </c>
      <c r="Q483" s="9">
        <v>6454</v>
      </c>
      <c r="R483" s="9">
        <v>6762</v>
      </c>
      <c r="S483" s="9">
        <v>6733</v>
      </c>
      <c r="T483" s="9">
        <v>6508</v>
      </c>
      <c r="U483" s="9">
        <v>10125</v>
      </c>
      <c r="V483" s="9">
        <v>10747</v>
      </c>
      <c r="AN483" s="9"/>
      <c r="AO483" s="9"/>
    </row>
    <row r="484" spans="1:41" ht="12.75">
      <c r="A484" s="2" t="s">
        <v>67</v>
      </c>
      <c r="L484" s="9">
        <v>71743</v>
      </c>
      <c r="M484" s="9">
        <v>73147</v>
      </c>
      <c r="N484" s="9">
        <v>74693</v>
      </c>
      <c r="O484" s="9">
        <v>73625</v>
      </c>
      <c r="P484" s="9">
        <v>74280</v>
      </c>
      <c r="Q484" s="9">
        <v>75157</v>
      </c>
      <c r="R484" s="9">
        <v>75392</v>
      </c>
      <c r="S484" s="9">
        <v>76891</v>
      </c>
      <c r="T484" s="9">
        <v>78784</v>
      </c>
      <c r="U484" s="9">
        <v>77358</v>
      </c>
      <c r="V484" s="9">
        <v>78702</v>
      </c>
      <c r="AN484" s="9"/>
      <c r="AO484" s="9"/>
    </row>
    <row r="485" spans="1:41" ht="12.75">
      <c r="A485" s="2" t="s">
        <v>68</v>
      </c>
      <c r="B485" s="9">
        <v>6962</v>
      </c>
      <c r="C485" s="9">
        <v>7275</v>
      </c>
      <c r="D485" s="9">
        <v>7561</v>
      </c>
      <c r="E485" s="9">
        <v>7711</v>
      </c>
      <c r="F485" s="9">
        <v>7956</v>
      </c>
      <c r="G485" s="9">
        <v>8180</v>
      </c>
      <c r="H485" s="9">
        <v>8354</v>
      </c>
      <c r="I485" s="9">
        <v>8603</v>
      </c>
      <c r="J485" s="9">
        <v>9010</v>
      </c>
      <c r="K485" s="9">
        <v>9163</v>
      </c>
      <c r="L485" s="9">
        <v>9903</v>
      </c>
      <c r="M485" s="9">
        <v>10251</v>
      </c>
      <c r="N485" s="9">
        <v>10633</v>
      </c>
      <c r="O485" s="9">
        <v>10832</v>
      </c>
      <c r="P485" s="9">
        <v>11128</v>
      </c>
      <c r="Q485" s="9">
        <v>11773</v>
      </c>
      <c r="R485" s="9">
        <v>12085</v>
      </c>
      <c r="S485" s="9">
        <v>12936</v>
      </c>
      <c r="T485" s="9">
        <v>13292</v>
      </c>
      <c r="U485" s="9">
        <v>13004</v>
      </c>
      <c r="V485" s="9">
        <v>13447</v>
      </c>
      <c r="AN485" s="9"/>
      <c r="AO485" s="9"/>
    </row>
    <row r="486" spans="1:41" ht="12.75">
      <c r="A486" s="2" t="s">
        <v>66</v>
      </c>
      <c r="M486" s="14"/>
      <c r="N486" s="14"/>
      <c r="O486" s="14"/>
      <c r="P486" s="14"/>
      <c r="Q486" s="14" t="s">
        <v>242</v>
      </c>
      <c r="R486" s="14" t="s">
        <v>242</v>
      </c>
      <c r="S486" s="14" t="s">
        <v>242</v>
      </c>
      <c r="T486" s="14" t="s">
        <v>242</v>
      </c>
      <c r="U486" s="9">
        <v>456</v>
      </c>
      <c r="V486" s="9">
        <v>402</v>
      </c>
      <c r="AN486" s="9"/>
      <c r="AO486" s="9"/>
    </row>
    <row r="487" spans="1:41" ht="12.75">
      <c r="A487" s="2" t="s">
        <v>67</v>
      </c>
      <c r="M487" s="14"/>
      <c r="N487" s="14"/>
      <c r="O487" s="14"/>
      <c r="P487" s="14"/>
      <c r="Q487" s="14" t="s">
        <v>242</v>
      </c>
      <c r="R487" s="14" t="s">
        <v>242</v>
      </c>
      <c r="S487" s="14" t="s">
        <v>242</v>
      </c>
      <c r="T487" s="14" t="s">
        <v>242</v>
      </c>
      <c r="U487" s="9">
        <v>12548</v>
      </c>
      <c r="V487" s="9">
        <v>13045</v>
      </c>
      <c r="AN487" s="9"/>
      <c r="AO487" s="9"/>
    </row>
    <row r="488" spans="1:41" ht="12.75">
      <c r="A488" s="2" t="s">
        <v>69</v>
      </c>
      <c r="Q488" s="9">
        <v>601</v>
      </c>
      <c r="R488" s="9">
        <v>620</v>
      </c>
      <c r="S488" s="9">
        <v>666</v>
      </c>
      <c r="T488" s="9">
        <v>618</v>
      </c>
      <c r="U488" s="9">
        <v>664</v>
      </c>
      <c r="V488" s="9">
        <v>800</v>
      </c>
      <c r="AN488" s="9"/>
      <c r="AO488" s="9"/>
    </row>
    <row r="489" spans="1:41" ht="12.75">
      <c r="A489" s="4" t="s">
        <v>137</v>
      </c>
      <c r="Q489" s="9">
        <v>2430</v>
      </c>
      <c r="R489" s="9">
        <v>2805</v>
      </c>
      <c r="S489" s="9">
        <v>3049</v>
      </c>
      <c r="T489" s="9">
        <v>3331</v>
      </c>
      <c r="U489" s="9">
        <v>3478</v>
      </c>
      <c r="V489" s="9">
        <v>3779</v>
      </c>
      <c r="AN489" s="9"/>
      <c r="AO489" s="9"/>
    </row>
    <row r="490" spans="1:41" ht="12.75">
      <c r="A490" s="2" t="s">
        <v>70</v>
      </c>
      <c r="M490" s="14"/>
      <c r="N490" s="14"/>
      <c r="O490" s="14"/>
      <c r="P490" s="14"/>
      <c r="Q490" s="14" t="s">
        <v>242</v>
      </c>
      <c r="R490" s="14" t="s">
        <v>242</v>
      </c>
      <c r="S490" s="14" t="s">
        <v>242</v>
      </c>
      <c r="T490" s="14" t="s">
        <v>242</v>
      </c>
      <c r="U490" s="9">
        <v>1215</v>
      </c>
      <c r="V490" s="9">
        <v>1397</v>
      </c>
      <c r="AN490" s="9"/>
      <c r="AO490" s="9"/>
    </row>
    <row r="491" spans="1:41" ht="12.75">
      <c r="A491" s="3" t="s">
        <v>52</v>
      </c>
      <c r="M491" s="9">
        <v>2458</v>
      </c>
      <c r="N491" s="9">
        <v>2738</v>
      </c>
      <c r="O491" s="9">
        <v>3175</v>
      </c>
      <c r="P491" s="9">
        <v>3567</v>
      </c>
      <c r="Q491" s="9">
        <v>1278</v>
      </c>
      <c r="R491" s="14">
        <v>1823</v>
      </c>
      <c r="S491" s="14">
        <v>2528</v>
      </c>
      <c r="T491" s="14">
        <v>3728</v>
      </c>
      <c r="U491" s="14" t="s">
        <v>242</v>
      </c>
      <c r="V491" s="14" t="s">
        <v>242</v>
      </c>
      <c r="AN491" s="9"/>
      <c r="AO491" s="9"/>
    </row>
    <row r="492" spans="1:41" ht="12.75">
      <c r="A492" s="3" t="s">
        <v>305</v>
      </c>
      <c r="L492" s="9">
        <v>2257</v>
      </c>
      <c r="R492" s="14"/>
      <c r="S492" s="14"/>
      <c r="T492" s="14"/>
      <c r="U492" s="14"/>
      <c r="V492" s="14"/>
      <c r="AN492" s="9"/>
      <c r="AO492" s="9"/>
    </row>
    <row r="493" spans="1:41" ht="12.75">
      <c r="A493" s="5" t="s">
        <v>71</v>
      </c>
      <c r="B493" s="9">
        <v>2754</v>
      </c>
      <c r="C493" s="9">
        <v>2842</v>
      </c>
      <c r="D493" s="9">
        <v>3091</v>
      </c>
      <c r="E493" s="9">
        <v>3265</v>
      </c>
      <c r="F493" s="9">
        <v>3614</v>
      </c>
      <c r="G493" s="9">
        <v>3788</v>
      </c>
      <c r="H493" s="9">
        <v>3931</v>
      </c>
      <c r="I493" s="9">
        <v>4081</v>
      </c>
      <c r="J493" s="9">
        <v>4328</v>
      </c>
      <c r="K493" s="9">
        <v>4594</v>
      </c>
      <c r="L493" s="9">
        <v>5708</v>
      </c>
      <c r="M493" s="9">
        <v>5587</v>
      </c>
      <c r="N493" s="9">
        <v>6204</v>
      </c>
      <c r="O493" s="9">
        <v>6239</v>
      </c>
      <c r="P493" s="9">
        <v>6614</v>
      </c>
      <c r="Q493" s="9">
        <v>7757</v>
      </c>
      <c r="R493" s="9">
        <v>8513</v>
      </c>
      <c r="S493" s="9">
        <v>9041</v>
      </c>
      <c r="T493" s="9">
        <v>9814</v>
      </c>
      <c r="U493" s="9">
        <v>11038</v>
      </c>
      <c r="V493" s="9">
        <v>11651</v>
      </c>
      <c r="AN493" s="9"/>
      <c r="AO493" s="9"/>
    </row>
    <row r="494" spans="3:41" ht="12.75">
      <c r="C494" s="44"/>
      <c r="D494" s="44"/>
      <c r="E494" s="44"/>
      <c r="F494" s="44"/>
      <c r="G494" s="44"/>
      <c r="H494" s="44"/>
      <c r="I494" s="44"/>
      <c r="J494" s="44"/>
      <c r="K494" s="44" t="s">
        <v>326</v>
      </c>
      <c r="R494" s="10"/>
      <c r="S494" s="10"/>
      <c r="T494" s="10"/>
      <c r="U494" s="10"/>
      <c r="V494" s="10"/>
      <c r="AN494" s="9"/>
      <c r="AO494" s="9"/>
    </row>
    <row r="495" spans="1:41" ht="12.75">
      <c r="A495" s="5"/>
      <c r="R495" s="10"/>
      <c r="S495" s="10"/>
      <c r="T495" s="10"/>
      <c r="U495" s="10"/>
      <c r="V495" s="10"/>
      <c r="AN495" s="9"/>
      <c r="AO495" s="9"/>
    </row>
    <row r="496" spans="1:41" ht="12.75">
      <c r="A496" s="5"/>
      <c r="R496" s="10"/>
      <c r="S496" s="10"/>
      <c r="T496" s="10"/>
      <c r="U496" s="10"/>
      <c r="V496" s="10"/>
      <c r="AN496" s="9"/>
      <c r="AO496" s="9"/>
    </row>
    <row r="497" spans="1:41" ht="12.75">
      <c r="A497" s="3"/>
      <c r="R497" s="10"/>
      <c r="S497" s="10"/>
      <c r="T497" s="10"/>
      <c r="U497" s="10"/>
      <c r="V497" s="10"/>
      <c r="AN497" s="9"/>
      <c r="AO497" s="9"/>
    </row>
    <row r="498" spans="1:22" ht="12.75">
      <c r="A498" s="2"/>
      <c r="R498" s="10"/>
      <c r="S498" s="10"/>
      <c r="T498" s="10"/>
      <c r="U498" s="10"/>
      <c r="V498" s="10"/>
    </row>
    <row r="499" spans="1:22" ht="12.75">
      <c r="A499" s="2"/>
      <c r="R499" s="10"/>
      <c r="S499" s="10"/>
      <c r="T499" s="10"/>
      <c r="U499" s="10"/>
      <c r="V499" s="10"/>
    </row>
    <row r="500" spans="1:22" ht="12.75">
      <c r="A500" s="13"/>
      <c r="R500" s="10"/>
      <c r="S500" s="10"/>
      <c r="T500" s="10"/>
      <c r="U500" s="10"/>
      <c r="V500" s="10"/>
    </row>
    <row r="501" spans="1:22" ht="12.75">
      <c r="A501" s="5"/>
      <c r="R501" s="14"/>
      <c r="S501" s="14"/>
      <c r="T501" s="14"/>
      <c r="U501" s="14"/>
      <c r="V501" s="14"/>
    </row>
    <row r="502" ht="12.75">
      <c r="A502" s="6"/>
    </row>
    <row r="503" ht="12.75">
      <c r="A503" s="6"/>
    </row>
    <row r="504" ht="12.75">
      <c r="A504" s="1"/>
    </row>
    <row r="505" ht="12.75">
      <c r="A505" s="6"/>
    </row>
    <row r="506" spans="18:22" ht="12.75">
      <c r="R506" s="10"/>
      <c r="S506" s="10"/>
      <c r="T506" s="10"/>
      <c r="U506" s="10"/>
      <c r="V506" s="10"/>
    </row>
    <row r="507" spans="18:22" ht="12.75">
      <c r="R507" s="10"/>
      <c r="S507" s="10"/>
      <c r="T507" s="10"/>
      <c r="U507" s="10"/>
      <c r="V507" s="10"/>
    </row>
    <row r="508" spans="1:22" ht="12.75">
      <c r="A508" s="4"/>
      <c r="R508" s="10"/>
      <c r="S508" s="10"/>
      <c r="T508" s="10"/>
      <c r="U508" s="10"/>
      <c r="V508" s="10"/>
    </row>
    <row r="509" spans="1:22" ht="12.75">
      <c r="A509" s="4"/>
      <c r="R509" s="10"/>
      <c r="S509" s="10"/>
      <c r="T509" s="10"/>
      <c r="U509" s="10"/>
      <c r="V509" s="10"/>
    </row>
    <row r="515" spans="1:22" ht="12.75">
      <c r="A515" s="4"/>
      <c r="R515" s="10"/>
      <c r="S515" s="10"/>
      <c r="T515" s="10"/>
      <c r="U515" s="10"/>
      <c r="V515" s="10"/>
    </row>
    <row r="523" spans="1:22" ht="12.75">
      <c r="A523" s="4"/>
      <c r="R523" s="10"/>
      <c r="S523" s="10"/>
      <c r="T523" s="10"/>
      <c r="U523" s="10"/>
      <c r="V523" s="10"/>
    </row>
    <row r="524" spans="1:22" ht="12.75">
      <c r="A524" s="4"/>
      <c r="R524" s="10"/>
      <c r="S524" s="10"/>
      <c r="T524" s="10"/>
      <c r="U524" s="10"/>
      <c r="V524" s="10"/>
    </row>
    <row r="525" spans="1:22" ht="12.75">
      <c r="A525" s="4"/>
      <c r="R525" s="10"/>
      <c r="S525" s="10"/>
      <c r="T525" s="10"/>
      <c r="U525" s="10"/>
      <c r="V525" s="10"/>
    </row>
    <row r="526" spans="1:22" ht="12.75">
      <c r="A526" s="2"/>
      <c r="R526" s="10"/>
      <c r="S526" s="10"/>
      <c r="T526" s="10"/>
      <c r="U526" s="10"/>
      <c r="V526" s="10"/>
    </row>
    <row r="527" spans="1:22" ht="12.75">
      <c r="A527" s="2"/>
      <c r="R527" s="10"/>
      <c r="S527" s="10"/>
      <c r="T527" s="10"/>
      <c r="U527" s="10"/>
      <c r="V527" s="10"/>
    </row>
    <row r="528" spans="1:22" ht="12.75">
      <c r="A528" s="2"/>
      <c r="R528" s="10"/>
      <c r="S528" s="10"/>
      <c r="T528" s="10"/>
      <c r="U528" s="10"/>
      <c r="V528" s="10"/>
    </row>
    <row r="529" spans="1:22" ht="12.75">
      <c r="A529" s="2"/>
      <c r="R529" s="10"/>
      <c r="S529" s="10"/>
      <c r="T529" s="10"/>
      <c r="U529" s="10"/>
      <c r="V529" s="10"/>
    </row>
    <row r="530" spans="1:22" ht="12.75">
      <c r="A530" s="2"/>
      <c r="R530" s="10"/>
      <c r="S530" s="10"/>
      <c r="T530" s="10"/>
      <c r="U530" s="10"/>
      <c r="V530" s="10"/>
    </row>
    <row r="531" spans="1:22" ht="12.75">
      <c r="A531" s="4"/>
      <c r="R531" s="10"/>
      <c r="S531" s="10"/>
      <c r="T531" s="10"/>
      <c r="U531" s="10"/>
      <c r="V531" s="10"/>
    </row>
    <row r="532" spans="1:22" ht="12.75">
      <c r="A532" s="4"/>
      <c r="R532" s="10"/>
      <c r="S532" s="10"/>
      <c r="T532" s="10"/>
      <c r="U532" s="10"/>
      <c r="V532" s="10"/>
    </row>
    <row r="540" spans="1:22" ht="12.75">
      <c r="A540" s="4"/>
      <c r="R540" s="10"/>
      <c r="S540" s="10"/>
      <c r="T540" s="10"/>
      <c r="U540" s="10"/>
      <c r="V540" s="10"/>
    </row>
    <row r="541" spans="1:22" ht="12.75">
      <c r="A541" s="4"/>
      <c r="R541" s="10"/>
      <c r="S541" s="10"/>
      <c r="T541" s="10"/>
      <c r="U541" s="10"/>
      <c r="V541" s="10"/>
    </row>
    <row r="542" spans="1:22" ht="12.75">
      <c r="A542" s="2"/>
      <c r="R542" s="10"/>
      <c r="S542" s="10"/>
      <c r="T542" s="10"/>
      <c r="U542" s="10"/>
      <c r="V542" s="10"/>
    </row>
    <row r="543" spans="1:22" ht="12.75">
      <c r="A543" s="2"/>
      <c r="R543" s="10"/>
      <c r="S543" s="10"/>
      <c r="T543" s="10"/>
      <c r="U543" s="10"/>
      <c r="V543" s="10"/>
    </row>
    <row r="544" spans="1:22" ht="12.75">
      <c r="A544" s="2"/>
      <c r="R544" s="10"/>
      <c r="S544" s="10"/>
      <c r="T544" s="10"/>
      <c r="U544" s="10"/>
      <c r="V544" s="10"/>
    </row>
    <row r="545" spans="1:22" ht="12.75">
      <c r="A545" s="2"/>
      <c r="R545" s="10"/>
      <c r="S545" s="10"/>
      <c r="T545" s="10"/>
      <c r="U545" s="10"/>
      <c r="V545" s="10"/>
    </row>
    <row r="546" spans="1:22" ht="12.75">
      <c r="A546" s="2"/>
      <c r="R546" s="10"/>
      <c r="S546" s="10"/>
      <c r="T546" s="10"/>
      <c r="U546" s="10"/>
      <c r="V546" s="10"/>
    </row>
  </sheetData>
  <printOptions gridLines="1"/>
  <pageMargins left="0.75" right="0.75" top="0.52" bottom="0.5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N502"/>
  <sheetViews>
    <sheetView workbookViewId="0" topLeftCell="A1">
      <pane xSplit="1" ySplit="1" topLeftCell="L10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13" sqref="L113:V116"/>
    </sheetView>
  </sheetViews>
  <sheetFormatPr defaultColWidth="9.140625" defaultRowHeight="12.75"/>
  <cols>
    <col min="1" max="1" width="29.00390625" style="8" customWidth="1"/>
    <col min="2" max="3" width="11.28125" style="9" customWidth="1"/>
    <col min="4" max="4" width="10.7109375" style="9" customWidth="1"/>
    <col min="5" max="17" width="11.28125" style="9" customWidth="1"/>
    <col min="18" max="22" width="10.8515625" style="9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ht="12.75">
      <c r="A3" s="6"/>
    </row>
    <row r="4" ht="12.75">
      <c r="A4" s="17" t="s">
        <v>267</v>
      </c>
    </row>
    <row r="5" spans="1:25" ht="12.75">
      <c r="A5" s="17"/>
      <c r="R5" s="10"/>
      <c r="S5" s="10"/>
      <c r="T5" s="10"/>
      <c r="U5" s="10"/>
      <c r="V5" s="10"/>
      <c r="X5" t="s">
        <v>360</v>
      </c>
      <c r="Y5" t="s">
        <v>361</v>
      </c>
    </row>
    <row r="6" spans="1:39" ht="12.75">
      <c r="A6" s="3" t="s">
        <v>145</v>
      </c>
      <c r="B6" s="9">
        <v>75969</v>
      </c>
      <c r="C6" s="9">
        <v>77601</v>
      </c>
      <c r="D6" s="9">
        <v>79087</v>
      </c>
      <c r="E6" s="9">
        <v>80881</v>
      </c>
      <c r="F6" s="9">
        <v>82420</v>
      </c>
      <c r="G6" s="9">
        <v>84618</v>
      </c>
      <c r="H6" s="9">
        <v>86374</v>
      </c>
      <c r="I6" s="9">
        <v>88207</v>
      </c>
      <c r="J6" s="9">
        <v>91561</v>
      </c>
      <c r="K6" s="9">
        <v>93519</v>
      </c>
      <c r="L6" s="9">
        <v>99931</v>
      </c>
      <c r="M6" s="9">
        <v>102652</v>
      </c>
      <c r="N6" s="9">
        <v>105661</v>
      </c>
      <c r="O6" s="9">
        <v>104592</v>
      </c>
      <c r="P6" s="9">
        <v>106611</v>
      </c>
      <c r="Q6" s="9">
        <v>109457</v>
      </c>
      <c r="R6" s="10">
        <v>112357</v>
      </c>
      <c r="S6" s="10">
        <v>115253</v>
      </c>
      <c r="T6" s="10">
        <v>119117</v>
      </c>
      <c r="U6" s="10">
        <v>120777</v>
      </c>
      <c r="V6" s="10">
        <v>124377</v>
      </c>
      <c r="W6" t="s">
        <v>333</v>
      </c>
      <c r="X6" s="59">
        <f>(V6-B6)/B6</f>
        <v>0.6372072819176243</v>
      </c>
      <c r="Y6" s="31">
        <f>(V38-B38)/B38</f>
        <v>0.6780731417821871</v>
      </c>
      <c r="AM6" s="9"/>
    </row>
    <row r="7" spans="1:39" ht="12.75">
      <c r="A7" s="3"/>
      <c r="R7" s="10"/>
      <c r="S7" s="10"/>
      <c r="T7" s="10"/>
      <c r="U7" s="10"/>
      <c r="V7" s="10"/>
      <c r="AM7" s="9"/>
    </row>
    <row r="8" spans="1:22" ht="12.75">
      <c r="A8" s="5" t="s">
        <v>149</v>
      </c>
      <c r="R8" s="10"/>
      <c r="S8" s="10"/>
      <c r="T8" s="10"/>
      <c r="U8" s="10"/>
      <c r="V8" s="10"/>
    </row>
    <row r="9" spans="1:39" ht="12.75">
      <c r="A9" s="5" t="s">
        <v>35</v>
      </c>
      <c r="B9" s="31">
        <f>'Working counts'!B9/'Working counts'!B$6</f>
        <v>0.2327791599204939</v>
      </c>
      <c r="C9" s="31">
        <f>'Working counts'!C9/'Working counts'!C$6</f>
        <v>0.23254854963209237</v>
      </c>
      <c r="D9" s="31">
        <f>'Working counts'!D9/'Working counts'!D$6</f>
        <v>0.22826760403100382</v>
      </c>
      <c r="E9" s="31">
        <f>'Working counts'!E9/'Working counts'!E$6</f>
        <v>0.22604814480533128</v>
      </c>
      <c r="F9" s="31">
        <f>'Working counts'!F9/'Working counts'!F$6</f>
        <v>0.22308905605435575</v>
      </c>
      <c r="G9" s="31">
        <f>'Working counts'!G9/'Working counts'!G$6</f>
        <v>0.2218440520929353</v>
      </c>
      <c r="H9" s="31">
        <f>'Working counts'!H9/'Working counts'!H$6</f>
        <v>0.21942945793873156</v>
      </c>
      <c r="I9" s="31">
        <f>'Working counts'!I9/'Working counts'!I$6</f>
        <v>0.21848606119695715</v>
      </c>
      <c r="J9" s="31">
        <f>'Working counts'!J9/'Working counts'!J$6</f>
        <v>0.21643494500933805</v>
      </c>
      <c r="K9" s="31">
        <f>'Working counts'!K9/'Working counts'!K$6</f>
        <v>0.21442701483121077</v>
      </c>
      <c r="L9" s="31">
        <f>'Working counts'!L9/'Working counts'!L$6</f>
        <v>0.20878406100209143</v>
      </c>
      <c r="M9" s="31">
        <f>'Working counts'!M9/'Working counts'!M$6</f>
        <v>0.20617231033004715</v>
      </c>
      <c r="N9" s="31">
        <f>'Working counts'!N9/'Working counts'!N$6</f>
        <v>0.20564825242994103</v>
      </c>
      <c r="O9" s="31">
        <f>'Working counts'!O9/'Working counts'!O$6</f>
        <v>0.20166934373565856</v>
      </c>
      <c r="P9" s="31">
        <f>'Working counts'!P9/'Working counts'!P$6</f>
        <v>0.198450441324066</v>
      </c>
      <c r="Q9" s="31">
        <f>'Working counts'!Q9/'Working counts'!Q$6</f>
        <v>0.1960678622655472</v>
      </c>
      <c r="R9" s="31">
        <f>'Working counts'!R9/'Working counts'!R$6</f>
        <v>0.19381079950514876</v>
      </c>
      <c r="S9" s="31">
        <f>'Working counts'!S9/'Working counts'!S$6</f>
        <v>0.1910232271611151</v>
      </c>
      <c r="T9" s="31">
        <f>'Working counts'!T9/'Working counts'!T$6</f>
        <v>0.1876054635358513</v>
      </c>
      <c r="U9" s="31">
        <f>'Working counts'!U9/'Working counts'!U$6</f>
        <v>0.1871382796393353</v>
      </c>
      <c r="V9" s="31">
        <f>'Working counts'!V9/'Working counts'!V$6</f>
        <v>0.18362719795460575</v>
      </c>
      <c r="W9" t="s">
        <v>333</v>
      </c>
      <c r="X9" s="59">
        <f>V9-B9</f>
        <v>-0.04915196196588814</v>
      </c>
      <c r="AM9" s="9"/>
    </row>
    <row r="10" spans="1:39" ht="12.75">
      <c r="A10" s="2" t="s">
        <v>36</v>
      </c>
      <c r="B10" s="31">
        <f>'Working counts'!B10/'Working counts'!B$6</f>
        <v>0.2678987481735971</v>
      </c>
      <c r="C10" s="31">
        <f>'Working counts'!C10/'Working counts'!C$6</f>
        <v>0.2652672001649463</v>
      </c>
      <c r="D10" s="31">
        <f>'Working counts'!D10/'Working counts'!D$6</f>
        <v>0.26597291590274</v>
      </c>
      <c r="E10" s="31">
        <f>'Working counts'!E10/'Working counts'!E$6</f>
        <v>0.264351330967718</v>
      </c>
      <c r="F10" s="31">
        <f>'Working counts'!F10/'Working counts'!F$6</f>
        <v>0.2623392380490172</v>
      </c>
      <c r="G10" s="31">
        <f>'Working counts'!G10/'Working counts'!G$6</f>
        <v>0.2603228627478787</v>
      </c>
      <c r="H10" s="31">
        <f>'Working counts'!H10/'Working counts'!H$6</f>
        <v>0.2604371685924005</v>
      </c>
      <c r="I10" s="31">
        <f>'Working counts'!I10/'Working counts'!I$6</f>
        <v>0.2584828868457152</v>
      </c>
      <c r="J10" s="31">
        <f>'Working counts'!J10/'Working counts'!J$6</f>
        <v>0.2583523552604275</v>
      </c>
      <c r="K10" s="31">
        <f>'Working counts'!K10/'Working counts'!K$6</f>
        <v>0.2552850222949347</v>
      </c>
      <c r="L10" s="31">
        <f>'Working counts'!L10/'Working counts'!L$6</f>
        <v>0.24581961553471895</v>
      </c>
      <c r="M10" s="31">
        <f>'Working counts'!M10/'Working counts'!M$6</f>
        <v>0.23873865097611346</v>
      </c>
      <c r="N10" s="31">
        <f>'Working counts'!N10/'Working counts'!N$6</f>
        <v>0.23915162642791568</v>
      </c>
      <c r="O10" s="31">
        <f>'Working counts'!O10/'Working counts'!O$6</f>
        <v>0.23889972464433226</v>
      </c>
      <c r="P10" s="31">
        <f>'Working counts'!P10/'Working counts'!P$6</f>
        <v>0.23899972798304114</v>
      </c>
      <c r="Q10" s="31">
        <f>'Working counts'!Q10/'Working counts'!Q$6</f>
        <v>0.23804781786454954</v>
      </c>
      <c r="R10" s="31">
        <f>'Working counts'!R10/'Working counts'!R$6</f>
        <v>0.2365673700793008</v>
      </c>
      <c r="S10" s="31">
        <f>'Working counts'!S10/'Working counts'!S$6</f>
        <v>0.23493531621736527</v>
      </c>
      <c r="T10" s="31">
        <f>'Working counts'!T10/'Working counts'!T$6</f>
        <v>0.23294743823299782</v>
      </c>
      <c r="U10" s="31">
        <f>'Working counts'!U10/'Working counts'!U$6</f>
        <v>0.23094628944252632</v>
      </c>
      <c r="V10" s="31">
        <f>'Working counts'!V10/'Working counts'!V$6</f>
        <v>0.23028373413090844</v>
      </c>
      <c r="W10" t="s">
        <v>333</v>
      </c>
      <c r="X10" s="59">
        <f>V10-B10</f>
        <v>-0.03761501404268866</v>
      </c>
      <c r="AM10" s="9"/>
    </row>
    <row r="11" spans="1:39" ht="12.75">
      <c r="A11" s="2" t="s">
        <v>37</v>
      </c>
      <c r="B11" s="31">
        <f>'Working counts'!B11/'Working counts'!B$6</f>
        <v>0.3171688451868525</v>
      </c>
      <c r="C11" s="31">
        <f>'Working counts'!C11/'Working counts'!C$6</f>
        <v>0.31893918892797773</v>
      </c>
      <c r="D11" s="31">
        <f>'Working counts'!D11/'Working counts'!D$6</f>
        <v>0.3207101040626146</v>
      </c>
      <c r="E11" s="31">
        <f>'Working counts'!E11/'Working counts'!E$6</f>
        <v>0.32288176456769824</v>
      </c>
      <c r="F11" s="31">
        <f>'Working counts'!F11/'Working counts'!F$6</f>
        <v>0.3253579228342635</v>
      </c>
      <c r="G11" s="31">
        <f>'Working counts'!G11/'Working counts'!G$6</f>
        <v>0.32618355432650264</v>
      </c>
      <c r="H11" s="31">
        <f>'Working counts'!H11/'Working counts'!H$6</f>
        <v>0.32730914395535693</v>
      </c>
      <c r="I11" s="31">
        <f>'Working counts'!I11/'Working counts'!I$6</f>
        <v>0.3294183001349099</v>
      </c>
      <c r="J11" s="31">
        <f>'Working counts'!J11/'Working counts'!J$6</f>
        <v>0.3301187186684287</v>
      </c>
      <c r="K11" s="31">
        <f>'Working counts'!K11/'Working counts'!K$6</f>
        <v>0.3330873940054962</v>
      </c>
      <c r="L11" s="31">
        <f>'Working counts'!L11/'Working counts'!L$6</f>
        <v>0.3483903893686644</v>
      </c>
      <c r="M11" s="31">
        <f>'Working counts'!M11/'Working counts'!M$6</f>
        <v>0.35416747847095037</v>
      </c>
      <c r="N11" s="31">
        <f>'Working counts'!N11/'Working counts'!N$6</f>
        <v>0.3548234447904146</v>
      </c>
      <c r="O11" s="31">
        <f>'Working counts'!O11/'Working counts'!O$6</f>
        <v>0.3535930090255469</v>
      </c>
      <c r="P11" s="31">
        <f>'Working counts'!P11/'Working counts'!P$6</f>
        <v>0.3553667070002157</v>
      </c>
      <c r="Q11" s="31">
        <f>'Working counts'!Q11/'Working counts'!Q$6</f>
        <v>0.35765643129265373</v>
      </c>
      <c r="R11" s="31">
        <f>'Working counts'!R11/'Working counts'!R$6</f>
        <v>0.35959486280338565</v>
      </c>
      <c r="S11" s="31">
        <f>'Working counts'!S11/'Working counts'!S$6</f>
        <v>0.36284521877955456</v>
      </c>
      <c r="T11" s="31">
        <f>'Working counts'!T11/'Working counts'!T$6</f>
        <v>0.36578322153848736</v>
      </c>
      <c r="U11" s="31">
        <f>'Working counts'!U11/'Working counts'!U$6</f>
        <v>0.3697641107164444</v>
      </c>
      <c r="V11" s="31">
        <f>'Working counts'!V11/'Working counts'!V$6</f>
        <v>0.37305932768920297</v>
      </c>
      <c r="W11" t="s">
        <v>333</v>
      </c>
      <c r="X11" s="59">
        <f>V11-B11</f>
        <v>0.05589048250235046</v>
      </c>
      <c r="AM11" s="9"/>
    </row>
    <row r="12" spans="1:39" ht="12.75">
      <c r="A12" s="2" t="s">
        <v>38</v>
      </c>
      <c r="B12" s="31">
        <f>'Working counts'!B12/'Working counts'!B$6</f>
        <v>0.18215324671905644</v>
      </c>
      <c r="C12" s="31">
        <f>'Working counts'!C12/'Working counts'!C$6</f>
        <v>0.18325794770685944</v>
      </c>
      <c r="D12" s="31">
        <f>'Working counts'!D12/'Working counts'!D$6</f>
        <v>0.18504937600364155</v>
      </c>
      <c r="E12" s="31">
        <f>'Working counts'!E12/'Working counts'!E$6</f>
        <v>0.18671875965925247</v>
      </c>
      <c r="F12" s="31">
        <f>'Working counts'!F12/'Working counts'!F$6</f>
        <v>0.18920165008493084</v>
      </c>
      <c r="G12" s="31">
        <f>'Working counts'!G12/'Working counts'!G$6</f>
        <v>0.19166134864922357</v>
      </c>
      <c r="H12" s="31">
        <f>'Working counts'!H12/'Working counts'!H$6</f>
        <v>0.19283580707157247</v>
      </c>
      <c r="I12" s="31">
        <f>'Working counts'!I12/'Working counts'!I$6</f>
        <v>0.19361275182241772</v>
      </c>
      <c r="J12" s="31">
        <f>'Working counts'!J12/'Working counts'!J$6</f>
        <v>0.19508305938117756</v>
      </c>
      <c r="K12" s="31">
        <f>'Working counts'!K12/'Working counts'!K$6</f>
        <v>0.1972112618826121</v>
      </c>
      <c r="L12" s="31">
        <f>'Working counts'!L12/'Working counts'!L$6</f>
        <v>0.19700593409452521</v>
      </c>
      <c r="M12" s="31">
        <f>'Working counts'!M12/'Working counts'!M$6</f>
        <v>0.20092156022288898</v>
      </c>
      <c r="N12" s="31">
        <f>'Working counts'!N12/'Working counts'!N$6</f>
        <v>0.2003672121217857</v>
      </c>
      <c r="O12" s="31">
        <f>'Working counts'!O12/'Working counts'!O$6</f>
        <v>0.20582836163377696</v>
      </c>
      <c r="P12" s="31">
        <f>'Working counts'!P12/'Working counts'!P$6</f>
        <v>0.2071831236926771</v>
      </c>
      <c r="Q12" s="31">
        <f>'Working counts'!Q12/'Working counts'!Q$6</f>
        <v>0.20821875256950217</v>
      </c>
      <c r="R12" s="31">
        <f>'Working counts'!R12/'Working counts'!R$6</f>
        <v>0.2100358678141994</v>
      </c>
      <c r="S12" s="31">
        <f>'Working counts'!S12/'Working counts'!S$6</f>
        <v>0.21120491440569877</v>
      </c>
      <c r="T12" s="31">
        <f>'Working counts'!T12/'Working counts'!T$6</f>
        <v>0.21365548158533207</v>
      </c>
      <c r="U12" s="31">
        <f>'Working counts'!U12/'Working counts'!U$6</f>
        <v>0.21215132020169403</v>
      </c>
      <c r="V12" s="31">
        <f>'Working counts'!V12/'Working counts'!V$6</f>
        <v>0.21302974022528282</v>
      </c>
      <c r="W12" t="s">
        <v>333</v>
      </c>
      <c r="X12" s="59">
        <f>V12-B12</f>
        <v>0.03087649350622637</v>
      </c>
      <c r="AM12" s="9"/>
    </row>
    <row r="13" spans="1:22" ht="12.75">
      <c r="A13" s="2"/>
      <c r="R13" s="10"/>
      <c r="S13" s="10"/>
      <c r="T13" s="10"/>
      <c r="U13" s="10"/>
      <c r="V13" s="10"/>
    </row>
    <row r="14" spans="1:22" ht="12.75">
      <c r="A14" s="5" t="s">
        <v>150</v>
      </c>
      <c r="R14" s="10"/>
      <c r="S14" s="10"/>
      <c r="T14" s="10"/>
      <c r="U14" s="10"/>
      <c r="V14" s="10"/>
    </row>
    <row r="15" spans="1:39" ht="12.75">
      <c r="A15" s="5" t="s">
        <v>39</v>
      </c>
      <c r="B15" s="31">
        <f>'Working counts'!B15/'Working counts'!B$6</f>
        <v>0.673208808856244</v>
      </c>
      <c r="C15" s="31">
        <f>'Working counts'!C15/'Working counts'!C$6</f>
        <v>0.6709449620494581</v>
      </c>
      <c r="D15" s="31">
        <f>'Working counts'!D15/'Working counts'!D$6</f>
        <v>0.6705400381857954</v>
      </c>
      <c r="E15" s="31">
        <f>'Working counts'!E15/'Working counts'!E$6</f>
        <v>0.6668315179090268</v>
      </c>
      <c r="F15" s="31">
        <f>'Working counts'!F15/'Working counts'!F$6</f>
        <v>0.6660640621208445</v>
      </c>
      <c r="G15" s="31">
        <f>'Working counts'!G15/'Working counts'!G$6</f>
        <v>0.6663357678035406</v>
      </c>
      <c r="H15" s="31">
        <f>'Working counts'!H15/'Working counts'!H$6</f>
        <v>0.6655243476046032</v>
      </c>
      <c r="I15" s="31">
        <f>'Working counts'!I15/'Working counts'!I$6</f>
        <v>0.6629519199156529</v>
      </c>
      <c r="J15" s="31">
        <f>'Working counts'!J15/'Working counts'!J$6</f>
        <v>0.6654361573158878</v>
      </c>
      <c r="K15" s="31">
        <f>'Working counts'!K15/'Working counts'!K$6</f>
        <v>0.6660999369112159</v>
      </c>
      <c r="L15" s="31">
        <f>'Working counts'!L15/'Working counts'!L$6</f>
        <v>0.759053747085489</v>
      </c>
      <c r="M15" s="31">
        <f>'Working counts'!M15/'Working counts'!M$6</f>
        <v>0.7609009079219109</v>
      </c>
      <c r="N15" s="31">
        <f>'Working counts'!N15/'Working counts'!N$6</f>
        <v>0.7659969146610386</v>
      </c>
      <c r="O15" s="31">
        <f>'Working counts'!O15/'Working counts'!O$6</f>
        <v>0.7643892458314211</v>
      </c>
      <c r="P15" s="31">
        <f>'Working counts'!P15/'Working counts'!P$6</f>
        <v>0.762519815028468</v>
      </c>
      <c r="Q15" s="31">
        <f>'Working counts'!Q15/'Working counts'!Q$6</f>
        <v>0.7614771097325891</v>
      </c>
      <c r="R15" s="31">
        <f>'Working counts'!R15/'Working counts'!R$6</f>
        <v>0.7606646670879429</v>
      </c>
      <c r="S15" s="31">
        <f>'Working counts'!S15/'Working counts'!S$6</f>
        <v>0.7609086097541929</v>
      </c>
      <c r="T15" s="31">
        <f>'Working counts'!T15/'Working counts'!T$6</f>
        <v>0.7812318980498165</v>
      </c>
      <c r="U15" s="31">
        <f>'Working counts'!U15/'Working counts'!U$6</f>
        <v>0.7823343848580442</v>
      </c>
      <c r="V15" s="31">
        <f>'Working counts'!V15/'Working counts'!V$6</f>
        <v>0.7621827186698505</v>
      </c>
      <c r="W15" t="s">
        <v>333</v>
      </c>
      <c r="X15" s="59">
        <f>V15-B15</f>
        <v>0.08897390981360653</v>
      </c>
      <c r="AM15" s="9"/>
    </row>
    <row r="16" spans="1:39" ht="12.75">
      <c r="A16" s="2" t="s">
        <v>40</v>
      </c>
      <c r="B16" s="31">
        <f>'Working counts'!B16/'Working counts'!B$6</f>
        <v>0.31753741657781465</v>
      </c>
      <c r="C16" s="31">
        <f>'Working counts'!C16/'Working counts'!C$6</f>
        <v>0.3103181660030154</v>
      </c>
      <c r="D16" s="31">
        <f>'Working counts'!D16/'Working counts'!D$6</f>
        <v>0.3065611288833816</v>
      </c>
      <c r="E16" s="31">
        <f>'Working counts'!E16/'Working counts'!E$6</f>
        <v>0.303853809918275</v>
      </c>
      <c r="F16" s="31">
        <f>'Working counts'!F16/'Working counts'!F$6</f>
        <v>0.3016258189759767</v>
      </c>
      <c r="G16" s="31">
        <f>'Working counts'!G16/'Working counts'!G$6</f>
        <v>0.2979626084284668</v>
      </c>
      <c r="H16" s="31">
        <f>'Working counts'!H16/'Working counts'!H$6</f>
        <v>0.2943246810382754</v>
      </c>
      <c r="I16" s="31">
        <f>'Working counts'!I16/'Working counts'!I$6</f>
        <v>0.28921740904916843</v>
      </c>
      <c r="J16" s="31">
        <f>'Working counts'!J16/'Working counts'!J$6</f>
        <v>0.2902436626948155</v>
      </c>
      <c r="K16" s="31">
        <f>'Working counts'!K16/'Working counts'!K$6</f>
        <v>0.29145948951549955</v>
      </c>
      <c r="L16" s="31">
        <f>'Working counts'!L16/'Working counts'!L$6</f>
        <v>0.32687554412544656</v>
      </c>
      <c r="M16" s="31">
        <f>'Working counts'!M16/'Working counts'!M$6</f>
        <v>0.32541012352413984</v>
      </c>
      <c r="N16" s="31">
        <f>'Working counts'!N16/'Working counts'!N$6</f>
        <v>0.3188025856276204</v>
      </c>
      <c r="O16" s="31">
        <f>'Working counts'!O16/'Working counts'!O$6</f>
        <v>0.3147946305644791</v>
      </c>
      <c r="P16" s="31">
        <f>'Working counts'!P16/'Working counts'!P$6</f>
        <v>0.3108497247000779</v>
      </c>
      <c r="Q16" s="31">
        <f>'Working counts'!Q16/'Working counts'!Q$6</f>
        <v>0.30617502763642346</v>
      </c>
      <c r="R16" s="31">
        <f>'Working counts'!R16/'Working counts'!R$6</f>
        <v>0.30315868170207466</v>
      </c>
      <c r="S16" s="31">
        <f>'Working counts'!S16/'Working counts'!S$6</f>
        <v>0.2989596800083295</v>
      </c>
      <c r="T16" s="31">
        <f>'Working counts'!T16/'Working counts'!T$6</f>
        <v>0.2944667847578431</v>
      </c>
      <c r="U16" s="31">
        <f>'Working counts'!U16/'Working counts'!U$6</f>
        <v>0.2915869743411411</v>
      </c>
      <c r="V16" s="31">
        <f>'Working counts'!V16/'Working counts'!V$6</f>
        <v>0.28804360934899537</v>
      </c>
      <c r="W16" t="s">
        <v>333</v>
      </c>
      <c r="X16" s="59">
        <f>V16-B16</f>
        <v>-0.02949380722881928</v>
      </c>
      <c r="AM16" s="9"/>
    </row>
    <row r="17" spans="1:39" ht="12.75">
      <c r="A17" s="2" t="s">
        <v>41</v>
      </c>
      <c r="B17" s="31">
        <f>'Working counts'!B17/'Working counts'!B$6</f>
        <v>0.35567139227842937</v>
      </c>
      <c r="C17" s="31">
        <f>'Working counts'!C17/'Working counts'!C$6</f>
        <v>0.3606267960464427</v>
      </c>
      <c r="D17" s="31">
        <f>'Working counts'!D17/'Working counts'!D$6</f>
        <v>0.36396626499930457</v>
      </c>
      <c r="E17" s="31">
        <f>'Working counts'!E17/'Working counts'!E$6</f>
        <v>0.36299007183392884</v>
      </c>
      <c r="F17" s="31">
        <f>'Working counts'!F17/'Working counts'!F$6</f>
        <v>0.3644382431448677</v>
      </c>
      <c r="G17" s="31">
        <f>'Working counts'!G17/'Working counts'!G$6</f>
        <v>0.36837315937507387</v>
      </c>
      <c r="H17" s="31">
        <f>'Working counts'!H17/'Working counts'!H$6</f>
        <v>0.37119966656632786</v>
      </c>
      <c r="I17" s="31">
        <f>'Working counts'!I17/'Working counts'!I$6</f>
        <v>0.3737458478352058</v>
      </c>
      <c r="J17" s="31">
        <f>'Working counts'!J17/'Working counts'!J$6</f>
        <v>0.3751924946210723</v>
      </c>
      <c r="K17" s="31">
        <f>'Working counts'!K17/'Working counts'!K$6</f>
        <v>0.3746404473957164</v>
      </c>
      <c r="L17" s="31">
        <f>'Working counts'!L17/'Working counts'!L$6</f>
        <v>0.43217820296004245</v>
      </c>
      <c r="M17" s="31">
        <f>'Working counts'!M17/'Working counts'!M$6</f>
        <v>0.4354907843977711</v>
      </c>
      <c r="N17" s="31">
        <f>'Working counts'!N17/'Working counts'!N$6</f>
        <v>0.4471943290334182</v>
      </c>
      <c r="O17" s="31">
        <f>'Working counts'!O17/'Working counts'!O$6</f>
        <v>0.449594615266942</v>
      </c>
      <c r="P17" s="31">
        <f>'Working counts'!P17/'Working counts'!P$6</f>
        <v>0.4516700903283901</v>
      </c>
      <c r="Q17" s="31">
        <f>'Working counts'!Q17/'Working counts'!Q$6</f>
        <v>0.45530208209616563</v>
      </c>
      <c r="R17" s="31">
        <f>'Working counts'!R17/'Working counts'!R$6</f>
        <v>0.4575059853858683</v>
      </c>
      <c r="S17" s="31">
        <f>'Working counts'!S17/'Working counts'!S$6</f>
        <v>0.46194892974586343</v>
      </c>
      <c r="T17" s="31">
        <f>'Working counts'!T17/'Working counts'!T$6</f>
        <v>0.4867735083993049</v>
      </c>
      <c r="U17" s="31">
        <f>'Working counts'!U17/'Working counts'!U$6</f>
        <v>0.49074741051690307</v>
      </c>
      <c r="V17" s="31">
        <f>'Working counts'!V17/'Working counts'!V$6</f>
        <v>0.4741310692491377</v>
      </c>
      <c r="W17" t="s">
        <v>333</v>
      </c>
      <c r="X17" s="59">
        <f>V17-B17</f>
        <v>0.11845967697070836</v>
      </c>
      <c r="AM17" s="9"/>
    </row>
    <row r="18" spans="1:39" ht="12.75">
      <c r="A18" s="4" t="s">
        <v>42</v>
      </c>
      <c r="B18" s="31">
        <f>'Working counts'!B18/'Working counts'!B$6</f>
        <v>0.326791191143756</v>
      </c>
      <c r="C18" s="31">
        <f>'Working counts'!C18/'Working counts'!C$6</f>
        <v>0.32905503795054186</v>
      </c>
      <c r="D18" s="31">
        <f>'Working counts'!D18/'Working counts'!D$6</f>
        <v>0.3294726061173138</v>
      </c>
      <c r="E18" s="31">
        <f>'Working counts'!E18/'Working counts'!E$6</f>
        <v>0.33316848209097316</v>
      </c>
      <c r="F18" s="31">
        <f>'Working counts'!F18/'Working counts'!F$6</f>
        <v>0.33393593787915554</v>
      </c>
      <c r="G18" s="31">
        <f>'Working counts'!G18/'Working counts'!G$6</f>
        <v>0.3336760500129996</v>
      </c>
      <c r="H18" s="31">
        <f>'Working counts'!H18/'Working counts'!H$6</f>
        <v>0.3344756523953968</v>
      </c>
      <c r="I18" s="31">
        <f>'Working counts'!I18/'Working counts'!I$6</f>
        <v>0.33704808008434706</v>
      </c>
      <c r="J18" s="31">
        <f>'Working counts'!J18/'Working counts'!J$6</f>
        <v>0.3345638426841122</v>
      </c>
      <c r="K18" s="31">
        <f>'Working counts'!K18/'Working counts'!K$6</f>
        <v>0.3339000630887841</v>
      </c>
      <c r="L18" s="31">
        <f>'Working counts'!L18/'Working counts'!L$6</f>
        <v>0.24094625291451102</v>
      </c>
      <c r="M18" s="31">
        <f>'Working counts'!M18/'Working counts'!M$6</f>
        <v>0.23909909207808908</v>
      </c>
      <c r="N18" s="31">
        <f>'Working counts'!N18/'Working counts'!N$6</f>
        <v>0.2340030853389614</v>
      </c>
      <c r="O18" s="31">
        <f>'Working counts'!O18/'Working counts'!O$6</f>
        <v>0.23561075416857885</v>
      </c>
      <c r="P18" s="31">
        <f>'Working counts'!P18/'Working counts'!P$6</f>
        <v>0.237480184971532</v>
      </c>
      <c r="Q18" s="31">
        <f>'Working counts'!Q18/'Working counts'!Q$6</f>
        <v>0.23852289026741094</v>
      </c>
      <c r="R18" s="31">
        <f>'Working counts'!R18/'Working counts'!R$6</f>
        <v>0.2393353329120571</v>
      </c>
      <c r="S18" s="31">
        <f>'Working counts'!S18/'Working counts'!S$6</f>
        <v>0.23908271368207334</v>
      </c>
      <c r="T18" s="31">
        <f>'Working counts'!T18/'Working counts'!T$6</f>
        <v>0.21875970684285198</v>
      </c>
      <c r="U18" s="31">
        <f>'Working counts'!U18/'Working counts'!U$6</f>
        <v>0.21766561514195584</v>
      </c>
      <c r="V18" s="31">
        <f>'Working counts'!V18/'Working counts'!V$6</f>
        <v>0.23781728133014945</v>
      </c>
      <c r="W18" t="s">
        <v>333</v>
      </c>
      <c r="X18" s="59">
        <f>V18-B18</f>
        <v>-0.08897390981360653</v>
      </c>
      <c r="AM18" s="9"/>
    </row>
    <row r="19" spans="1:22" ht="12.75">
      <c r="A19" s="12"/>
      <c r="R19" s="10"/>
      <c r="S19" s="10"/>
      <c r="T19" s="10"/>
      <c r="U19" s="10"/>
      <c r="V19" s="10"/>
    </row>
    <row r="20" spans="1:39" ht="12.75">
      <c r="A20" s="3" t="s">
        <v>147</v>
      </c>
      <c r="B20" s="31">
        <f>'Working counts'!B20/'Working counts'!B$6</f>
        <v>0.0088983664389422</v>
      </c>
      <c r="C20" s="31">
        <f>'Working counts'!C20/'Working counts'!C$6</f>
        <v>0.02210023066713058</v>
      </c>
      <c r="D20" s="31">
        <f>'Working counts'!D20/'Working counts'!D$6</f>
        <v>0.019396360969565162</v>
      </c>
      <c r="E20" s="31">
        <f>'Working counts'!E20/'Working counts'!E$6</f>
        <v>0.019349414572025568</v>
      </c>
      <c r="F20" s="31">
        <f>'Working counts'!F20/'Working counts'!F$6</f>
        <v>0.020674593545256005</v>
      </c>
      <c r="G20" s="31">
        <f>'Working counts'!G20/'Working counts'!G$6</f>
        <v>0.021094802524285614</v>
      </c>
      <c r="H20" s="31">
        <f>'Working counts'!H20/'Working counts'!H$6</f>
        <v>0.020700673813879175</v>
      </c>
      <c r="I20" s="31">
        <f>'Working counts'!I20/'Working counts'!I$6</f>
        <v>0.0247486027186051</v>
      </c>
      <c r="J20" s="31">
        <f>'Working counts'!J20/'Working counts'!J$6</f>
        <v>0.021297277225019385</v>
      </c>
      <c r="K20" s="31">
        <f>'Working counts'!K20/'Working counts'!K$6</f>
        <v>0.01972861129823886</v>
      </c>
      <c r="L20" s="31">
        <f>'Working counts'!L20/'Working counts'!L$6</f>
        <v>0.03184197095996237</v>
      </c>
      <c r="M20" s="31">
        <f>'Working counts'!M20/'Working counts'!M$6</f>
        <v>0.02763706503526478</v>
      </c>
      <c r="N20" s="31">
        <f>'Working counts'!N20/'Working counts'!N$6</f>
        <v>0.02726644646558333</v>
      </c>
      <c r="O20" s="31">
        <f>'Working counts'!O20/'Working counts'!O$6</f>
        <v>0.026082300749579318</v>
      </c>
      <c r="P20" s="31">
        <f>'Working counts'!P20/'Working counts'!P$6</f>
        <v>0.02896511617000122</v>
      </c>
      <c r="Q20" s="31">
        <f>'Working counts'!Q20/'Working counts'!Q$6</f>
        <v>0.027901367660359777</v>
      </c>
      <c r="R20" s="31">
        <f>'Working counts'!R20/'Working counts'!R$6</f>
        <v>0.028178039641499862</v>
      </c>
      <c r="S20" s="31">
        <f>'Working counts'!S20/'Working counts'!S$6</f>
        <v>0.02569130521548246</v>
      </c>
      <c r="T20" s="31">
        <f>'Working counts'!T20/'Working counts'!T$6</f>
        <v>0.025840140366194583</v>
      </c>
      <c r="U20" s="31">
        <f>'Working counts'!U20/'Working counts'!U$6</f>
        <v>0.02952548912458498</v>
      </c>
      <c r="V20" s="31">
        <f>'Working counts'!V20/'Working counts'!V$6</f>
        <v>0.03091407575355572</v>
      </c>
      <c r="W20" t="s">
        <v>333</v>
      </c>
      <c r="X20" s="59">
        <f>V20-B20</f>
        <v>0.02201570931461352</v>
      </c>
      <c r="AM20" s="9"/>
    </row>
    <row r="21" spans="1:39" ht="12.75">
      <c r="A21" s="3" t="s">
        <v>341</v>
      </c>
      <c r="B21" s="31">
        <f>'Working counts'!B21/'Working counts'!B$6</f>
        <v>0.9911016335610578</v>
      </c>
      <c r="C21" s="31">
        <f>'Working counts'!C21/'Working counts'!C$6</f>
        <v>0.9778997693328694</v>
      </c>
      <c r="D21" s="31">
        <f>'Working counts'!D21/'Working counts'!D$6</f>
        <v>0.9806036390304348</v>
      </c>
      <c r="E21" s="31">
        <f>'Working counts'!E21/'Working counts'!E$6</f>
        <v>0.9806505854279745</v>
      </c>
      <c r="F21" s="31">
        <f>'Working counts'!F21/'Working counts'!F$6</f>
        <v>0.979325406454744</v>
      </c>
      <c r="G21" s="31">
        <f>'Working counts'!G21/'Working counts'!G$6</f>
        <v>0.9789051974757144</v>
      </c>
      <c r="H21" s="31">
        <f>'Working counts'!H21/'Working counts'!H$6</f>
        <v>0.9792993261861208</v>
      </c>
      <c r="I21" s="31">
        <f>'Working counts'!I21/'Working counts'!I$6</f>
        <v>0.9752513972813949</v>
      </c>
      <c r="J21" s="31">
        <f>'Working counts'!J21/'Working counts'!J$6</f>
        <v>0.9786918010943524</v>
      </c>
      <c r="K21" s="31">
        <f>'Working counts'!K21/'Working counts'!K$6</f>
        <v>0.9802820817160149</v>
      </c>
      <c r="L21" s="31">
        <f>'Working counts'!L21/'Working counts'!L$6</f>
        <v>0.9681580290400377</v>
      </c>
      <c r="M21" s="31">
        <f>'Working counts'!M21/'Working counts'!M$6</f>
        <v>0.9723629349647352</v>
      </c>
      <c r="N21" s="31">
        <f>'Working counts'!N21/'Working counts'!N$6</f>
        <v>0.9727335535344167</v>
      </c>
      <c r="O21" s="31">
        <f>'Working counts'!O21/'Working counts'!O$6</f>
        <v>0.9739176992504207</v>
      </c>
      <c r="P21" s="31">
        <f>'Working counts'!P21/'Working counts'!P$6</f>
        <v>0.971025503934866</v>
      </c>
      <c r="Q21" s="31">
        <f>'Working counts'!Q21/'Working counts'!Q$6</f>
        <v>0.9720986323396402</v>
      </c>
      <c r="R21" s="31">
        <f>'Working counts'!R21/'Working counts'!R$6</f>
        <v>0.9718219603585001</v>
      </c>
      <c r="S21" s="31">
        <f>'Working counts'!S21/'Working counts'!S$6</f>
        <v>0.9743086947845175</v>
      </c>
      <c r="T21" s="31">
        <f>'Working counts'!T21/'Working counts'!T$6</f>
        <v>0.9741514645264739</v>
      </c>
      <c r="U21" s="31">
        <f>'Working counts'!U21/'Working counts'!U$6</f>
        <v>0.970474510875415</v>
      </c>
      <c r="V21" s="31">
        <f>'Working counts'!V21/'Working counts'!V$6</f>
        <v>0.9690859242464442</v>
      </c>
      <c r="W21" t="s">
        <v>333</v>
      </c>
      <c r="X21" s="59">
        <f>V21-B21</f>
        <v>-0.022015709314613607</v>
      </c>
      <c r="AM21" s="9"/>
    </row>
    <row r="22" spans="1:22" ht="12.75">
      <c r="A22" s="3"/>
      <c r="R22" s="10"/>
      <c r="S22" s="10"/>
      <c r="T22" s="10"/>
      <c r="U22" s="10"/>
      <c r="V22" s="10"/>
    </row>
    <row r="23" spans="1:22" ht="12.75">
      <c r="A23" s="3" t="s">
        <v>342</v>
      </c>
      <c r="R23" s="10"/>
      <c r="S23" s="10"/>
      <c r="T23" s="10"/>
      <c r="U23" s="10"/>
      <c r="V23" s="10"/>
    </row>
    <row r="24" spans="1:39" ht="12.75">
      <c r="A24" s="3" t="s">
        <v>80</v>
      </c>
      <c r="B24" s="14" t="s">
        <v>242</v>
      </c>
      <c r="C24" s="14" t="s">
        <v>242</v>
      </c>
      <c r="D24" s="60">
        <f>'Working counts'!D24/'Working counts'!D$21</f>
        <v>0.00471935321651</v>
      </c>
      <c r="E24" s="60">
        <f>'Working counts'!E24/'Working counts'!E$21</f>
        <v>0.005169196631196732</v>
      </c>
      <c r="F24" s="60">
        <f>'Working counts'!F24/'Working counts'!F$21</f>
        <v>0.004336191089746766</v>
      </c>
      <c r="G24" s="60">
        <f>'Working counts'!G24/'Working counts'!G$21</f>
        <v>0.004237441599362573</v>
      </c>
      <c r="H24" s="60">
        <f>'Working counts'!H24/'Working counts'!H$21</f>
        <v>0.004090511432151893</v>
      </c>
      <c r="I24" s="60">
        <f>'Working counts'!I24/'Working counts'!I$21</f>
        <v>0.003708267460243653</v>
      </c>
      <c r="J24" s="60">
        <f>'Working counts'!J24/'Working counts'!J$21</f>
        <v>0.004709295837518134</v>
      </c>
      <c r="K24" s="60">
        <f>'Working counts'!K24/'Working counts'!K$21</f>
        <v>0.004046904826833924</v>
      </c>
      <c r="L24" s="60">
        <f>'Working counts'!L24/'Working counts'!L$21</f>
        <v>0.005447084724389917</v>
      </c>
      <c r="M24" s="60">
        <f>'Working counts'!M24/'Working counts'!M$21</f>
        <v>0.007724289936382307</v>
      </c>
      <c r="N24" s="60">
        <f>'Working counts'!N24/'Working counts'!N$21</f>
        <v>0.0060712200817279625</v>
      </c>
      <c r="O24" s="60">
        <f>'Working counts'!O24/'Working counts'!O$21</f>
        <v>0.007078064870808137</v>
      </c>
      <c r="P24" s="60">
        <f>'Working counts'!P24/'Working counts'!P$21</f>
        <v>0.00810455748536543</v>
      </c>
      <c r="Q24" s="60">
        <f>'Working counts'!Q24/'Working counts'!Q$21</f>
        <v>0.007029876977152899</v>
      </c>
      <c r="R24" s="60">
        <f>'Working counts'!R24/'Working counts'!R$21</f>
        <v>0.006658057898544752</v>
      </c>
      <c r="S24" s="60">
        <f>'Working counts'!S24/'Working counts'!S$21</f>
        <v>0.005922060342678018</v>
      </c>
      <c r="T24" s="60">
        <f>'Working counts'!T24/'Working counts'!T$21</f>
        <v>0.005773970595839294</v>
      </c>
      <c r="U24" s="60">
        <f>'Working counts'!U24/'Working counts'!U$21</f>
        <v>0.0054090486387796365</v>
      </c>
      <c r="V24" s="60">
        <f>'Working counts'!V24/'Working counts'!V$21</f>
        <v>0.005915441542494939</v>
      </c>
      <c r="W24" t="s">
        <v>333</v>
      </c>
      <c r="X24" s="59">
        <f>V24-D24</f>
        <v>0.0011960883259849392</v>
      </c>
      <c r="AM24" s="9"/>
    </row>
    <row r="25" spans="1:39" ht="12.75">
      <c r="A25" s="2" t="s">
        <v>81</v>
      </c>
      <c r="B25" s="14" t="s">
        <v>242</v>
      </c>
      <c r="C25" s="14" t="s">
        <v>242</v>
      </c>
      <c r="D25" s="60">
        <f>'Working counts'!D25/'Working counts'!D$21</f>
        <v>0.00800742717883254</v>
      </c>
      <c r="E25" s="60">
        <f>'Working counts'!E25/'Working counts'!E$21</f>
        <v>0.00893892783297191</v>
      </c>
      <c r="F25" s="60">
        <f>'Working counts'!F25/'Working counts'!F$21</f>
        <v>0.008957331879676891</v>
      </c>
      <c r="G25" s="60">
        <f>'Working counts'!G25/'Working counts'!G$21</f>
        <v>0.011022177151618316</v>
      </c>
      <c r="H25" s="60">
        <f>'Working counts'!H25/'Working counts'!H$21</f>
        <v>0.01228335658383184</v>
      </c>
      <c r="I25" s="60">
        <f>'Working counts'!I25/'Working counts'!I$21</f>
        <v>0.014182088719427137</v>
      </c>
      <c r="J25" s="60">
        <f>'Working counts'!J25/'Working counts'!J$21</f>
        <v>0.015857605177993526</v>
      </c>
      <c r="K25" s="60">
        <f>'Working counts'!K25/'Working counts'!K$21</f>
        <v>0.016602127079356422</v>
      </c>
      <c r="L25" s="60">
        <f>'Working counts'!L25/'Working counts'!L$21</f>
        <v>0.03394350329202369</v>
      </c>
      <c r="M25" s="60">
        <f>'Working counts'!M25/'Working counts'!M$21</f>
        <v>0.03943295095927466</v>
      </c>
      <c r="N25" s="60">
        <f>'Working counts'!N25/'Working counts'!N$21</f>
        <v>0.040854251799961085</v>
      </c>
      <c r="O25" s="60">
        <f>'Working counts'!O25/'Working counts'!O$21</f>
        <v>0.04147687112228069</v>
      </c>
      <c r="P25" s="60">
        <f>'Working counts'!P25/'Working counts'!P$21</f>
        <v>0.042696238480709414</v>
      </c>
      <c r="Q25" s="60">
        <f>'Working counts'!Q25/'Working counts'!Q$21</f>
        <v>0.04395552756971138</v>
      </c>
      <c r="R25" s="60">
        <f>'Working counts'!R25/'Working counts'!R$21</f>
        <v>0.058823529411764705</v>
      </c>
      <c r="S25" s="60">
        <f>'Working counts'!S25/'Working counts'!S$21</f>
        <v>0.04695793110818224</v>
      </c>
      <c r="T25" s="60">
        <f>'Working counts'!T25/'Working counts'!T$21</f>
        <v>0.04827728847446526</v>
      </c>
      <c r="U25" s="60">
        <f>'Working counts'!U25/'Working counts'!U$21</f>
        <v>0.0476832379213555</v>
      </c>
      <c r="V25" s="60">
        <f>'Working counts'!V25/'Working counts'!V$21</f>
        <v>0.04957189791922477</v>
      </c>
      <c r="W25" t="s">
        <v>333</v>
      </c>
      <c r="X25" s="59">
        <f>V25-D25</f>
        <v>0.041564470740392226</v>
      </c>
      <c r="AM25" s="9"/>
    </row>
    <row r="26" spans="1:22" ht="12.75">
      <c r="A26" s="2"/>
      <c r="R26" s="10"/>
      <c r="S26" s="10"/>
      <c r="T26" s="10"/>
      <c r="U26" s="10"/>
      <c r="V26" s="10"/>
    </row>
    <row r="27" spans="1:22" ht="12.75">
      <c r="A27" s="2" t="s">
        <v>343</v>
      </c>
      <c r="R27" s="10"/>
      <c r="S27" s="10"/>
      <c r="T27" s="10"/>
      <c r="U27" s="10"/>
      <c r="V27" s="10"/>
    </row>
    <row r="28" spans="1:39" ht="12.75">
      <c r="A28" s="5" t="s">
        <v>0</v>
      </c>
      <c r="B28" s="31">
        <f>'Working counts'!B28/'Working counts'!B$21</f>
        <v>0.9208957007955587</v>
      </c>
      <c r="C28" s="31">
        <f>'Working counts'!C28/'Working counts'!C$21</f>
        <v>0.9333737448277679</v>
      </c>
      <c r="D28" s="31">
        <f>'Working counts'!D28/'Working counts'!D$21</f>
        <v>0.9351411292922259</v>
      </c>
      <c r="E28" s="31">
        <f>'Working counts'!E28/'Working counts'!E$21</f>
        <v>0.9330399919310102</v>
      </c>
      <c r="F28" s="31">
        <f>'Working counts'!F28/'Working counts'!F$21</f>
        <v>0.9326527578175331</v>
      </c>
      <c r="G28" s="31">
        <f>'Working counts'!G28/'Working counts'!G$21</f>
        <v>0.9315973102507454</v>
      </c>
      <c r="H28" s="31">
        <f>'Working counts'!H28/'Working counts'!H$21</f>
        <v>0.9289007637197645</v>
      </c>
      <c r="I28" s="31">
        <f>'Working counts'!I28/'Working counts'!I$21</f>
        <v>0.9308100065098112</v>
      </c>
      <c r="J28" s="31">
        <f>'Working counts'!J28/'Working counts'!J$21</f>
        <v>0.9281888182122531</v>
      </c>
      <c r="K28" s="31">
        <f>'Working counts'!K28/'Working counts'!K$21</f>
        <v>0.9232397054813198</v>
      </c>
      <c r="L28" s="31">
        <f>'Working counts'!L28/'Working counts'!L$21</f>
        <v>0.9139629350174162</v>
      </c>
      <c r="M28" s="31">
        <f>'Working counts'!M28/'Working counts'!M$21</f>
        <v>0.9105645444071533</v>
      </c>
      <c r="N28" s="31">
        <f>'Working counts'!N28/'Working counts'!N$21</f>
        <v>0.9114905623662191</v>
      </c>
      <c r="O28" s="31">
        <f>'Working counts'!O28/'Working counts'!O$21</f>
        <v>0.9144251158407288</v>
      </c>
      <c r="P28" s="31">
        <f>'Working counts'!P28/'Working counts'!P$21</f>
        <v>0.9150132339019725</v>
      </c>
      <c r="Q28" s="31">
        <f>'Working counts'!Q28/'Working counts'!Q$21</f>
        <v>0.9181414057874308</v>
      </c>
      <c r="R28" s="31">
        <f>'Working counts'!R28/'Working counts'!R$21</f>
        <v>0.9111282065371689</v>
      </c>
      <c r="S28" s="31">
        <f>'Working counts'!S28/'Working counts'!S$21</f>
        <v>0.915497096854629</v>
      </c>
      <c r="T28" s="31">
        <f>'Working counts'!T28/'Working counts'!T$21</f>
        <v>0.9157431186335511</v>
      </c>
      <c r="U28" s="31">
        <f>'Working counts'!U28/'Working counts'!U$21</f>
        <v>0.9030039842676881</v>
      </c>
      <c r="V28" s="31">
        <f>'Working counts'!V28/'Working counts'!V$21</f>
        <v>0.9032539076759699</v>
      </c>
      <c r="W28" t="s">
        <v>334</v>
      </c>
      <c r="X28" s="59">
        <f aca="true" t="shared" si="0" ref="X28:X34">MAX(B28:V28)</f>
        <v>0.9351411292922259</v>
      </c>
      <c r="Y28" t="s">
        <v>335</v>
      </c>
      <c r="Z28" s="59">
        <f aca="true" t="shared" si="1" ref="Z28:Z34">MIN(B28:V28)</f>
        <v>0.9030039842676881</v>
      </c>
      <c r="AM28" s="9"/>
    </row>
    <row r="29" spans="1:39" ht="12.75">
      <c r="A29" s="5" t="s">
        <v>1</v>
      </c>
      <c r="B29" s="31">
        <f>'Working counts'!B29/'Working counts'!B$21</f>
        <v>0.07910429920444131</v>
      </c>
      <c r="C29" s="31">
        <f>'Working counts'!C29/'Working counts'!C$21</f>
        <v>0.06662625517223203</v>
      </c>
      <c r="D29" s="31">
        <f>'Working counts'!D29/'Working counts'!D$21</f>
        <v>0.06485887070777403</v>
      </c>
      <c r="E29" s="31">
        <f>'Working counts'!E29/'Working counts'!E$21</f>
        <v>0.06696000806898986</v>
      </c>
      <c r="F29" s="31">
        <f>'Working counts'!F29/'Working counts'!F$21</f>
        <v>0.06734724218246692</v>
      </c>
      <c r="G29" s="31">
        <f>'Working counts'!G29/'Working counts'!G$21</f>
        <v>0.0684147622324436</v>
      </c>
      <c r="H29" s="31">
        <f>'Working counts'!H29/'Working counts'!H$21</f>
        <v>0.0710992362802355</v>
      </c>
      <c r="I29" s="31">
        <f>'Working counts'!I29/'Working counts'!I$21</f>
        <v>0.06920161815307356</v>
      </c>
      <c r="J29" s="31">
        <f>'Working counts'!J29/'Working counts'!J$21</f>
        <v>0.0718111817877469</v>
      </c>
      <c r="K29" s="31">
        <f>'Working counts'!K29/'Working counts'!K$21</f>
        <v>0.07676029451868012</v>
      </c>
      <c r="L29" s="31">
        <f>'Working counts'!L29/'Working counts'!L$21</f>
        <v>0.0860370649825838</v>
      </c>
      <c r="M29" s="31">
        <f>'Working counts'!M29/'Working counts'!M$21</f>
        <v>0.08943545559284677</v>
      </c>
      <c r="N29" s="31">
        <f>'Working counts'!N29/'Working counts'!N$21</f>
        <v>0.08850943763378089</v>
      </c>
      <c r="O29" s="31">
        <f>'Working counts'!O29/'Working counts'!O$21</f>
        <v>0.08557488415927118</v>
      </c>
      <c r="P29" s="31">
        <f>'Working counts'!P29/'Working counts'!P$21</f>
        <v>0.08499642588048917</v>
      </c>
      <c r="Q29" s="31">
        <f>'Working counts'!Q29/'Working counts'!Q$21</f>
        <v>0.08185859421256919</v>
      </c>
      <c r="R29" s="31">
        <f>'Working counts'!R29/'Working counts'!R$21</f>
        <v>0.08887179346283118</v>
      </c>
      <c r="S29" s="31">
        <f>'Working counts'!S29/'Working counts'!S$21</f>
        <v>0.084502903145371</v>
      </c>
      <c r="T29" s="31">
        <f>'Working counts'!T29/'Working counts'!T$21</f>
        <v>0.08425688136644892</v>
      </c>
      <c r="U29" s="31">
        <f>'Working counts'!U29/'Working counts'!U$21</f>
        <v>0.09699601573231181</v>
      </c>
      <c r="V29" s="31">
        <f>'Working counts'!V29/'Working counts'!V$21</f>
        <v>0.09673779577207713</v>
      </c>
      <c r="W29" t="s">
        <v>334</v>
      </c>
      <c r="X29" s="59">
        <f t="shared" si="0"/>
        <v>0.09699601573231181</v>
      </c>
      <c r="Y29" t="s">
        <v>335</v>
      </c>
      <c r="Z29" s="59">
        <f t="shared" si="1"/>
        <v>0.06485887070777403</v>
      </c>
      <c r="AM29" s="9"/>
    </row>
    <row r="30" spans="1:39" ht="12.75">
      <c r="A30" s="13" t="s">
        <v>390</v>
      </c>
      <c r="B30" s="31">
        <f>'Working counts'!B30/'Working counts'!B$21</f>
        <v>0.02051983584131327</v>
      </c>
      <c r="C30" s="31">
        <f>'Working counts'!C30/'Working counts'!C$21</f>
        <v>0.021479587802756765</v>
      </c>
      <c r="D30" s="31">
        <f>'Working counts'!D30/'Working counts'!D$21</f>
        <v>0.01919977305842456</v>
      </c>
      <c r="E30" s="31">
        <f>'Working counts'!E30/'Working counts'!E$21</f>
        <v>0.019466438045287207</v>
      </c>
      <c r="F30" s="31">
        <f>'Working counts'!F30/'Working counts'!F$21</f>
        <v>0.018980127855691562</v>
      </c>
      <c r="G30" s="31">
        <f>'Working counts'!G30/'Working counts'!G$21</f>
        <v>0.018651986527108762</v>
      </c>
      <c r="H30" s="31">
        <f>'Working counts'!H30/'Working counts'!H$21</f>
        <v>0.018915659801858463</v>
      </c>
      <c r="I30" s="31">
        <f>'Working counts'!I30/'Working counts'!I$21</f>
        <v>0.017402120338510182</v>
      </c>
      <c r="J30" s="31">
        <f>'Working counts'!J30/'Working counts'!J$21</f>
        <v>0.018234572034371163</v>
      </c>
      <c r="K30" s="31">
        <f>'Working counts'!K30/'Working counts'!K$21</f>
        <v>0.02079083719661849</v>
      </c>
      <c r="L30" s="31">
        <f>'Working counts'!L30/'Working counts'!L$21</f>
        <v>0.02602610879699015</v>
      </c>
      <c r="M30" s="31">
        <f>'Working counts'!M30/'Working counts'!M$21</f>
        <v>0.02900365676501528</v>
      </c>
      <c r="N30" s="31">
        <f>'Working counts'!N30/'Working counts'!N$21</f>
        <v>0.025724849192449894</v>
      </c>
      <c r="O30" s="31">
        <f>'Working counts'!O30/'Working counts'!O$21</f>
        <v>0.026348857299929317</v>
      </c>
      <c r="P30" s="31">
        <f>'Working counts'!P30/'Working counts'!P$21</f>
        <v>0.02560808330596395</v>
      </c>
      <c r="Q30" s="31">
        <f>'Working counts'!Q30/'Working counts'!Q$21</f>
        <v>0.025055684520173302</v>
      </c>
      <c r="R30" s="31">
        <f>'Working counts'!R30/'Working counts'!R$21</f>
        <v>0.026412433259151394</v>
      </c>
      <c r="S30" s="31">
        <f>'Working counts'!S30/'Working counts'!S$21</f>
        <v>0.024213657250739144</v>
      </c>
      <c r="T30" s="31">
        <f>'Working counts'!T30/'Working counts'!T$21</f>
        <v>0.02512969889174236</v>
      </c>
      <c r="U30" s="31">
        <f>'Working counts'!U30/'Working counts'!U$21</f>
        <v>0.03068824598373873</v>
      </c>
      <c r="V30" s="31">
        <f>'Working counts'!V30/'Working counts'!V$21</f>
        <v>0.030755318089801878</v>
      </c>
      <c r="W30" t="s">
        <v>334</v>
      </c>
      <c r="X30" s="59">
        <f t="shared" si="0"/>
        <v>0.030755318089801878</v>
      </c>
      <c r="Y30" t="s">
        <v>335</v>
      </c>
      <c r="Z30" s="59">
        <f t="shared" si="1"/>
        <v>0.017402120338510182</v>
      </c>
      <c r="AM30" s="9"/>
    </row>
    <row r="31" spans="1:39" ht="12.75">
      <c r="A31" s="13" t="s">
        <v>391</v>
      </c>
      <c r="B31" s="31">
        <f>'Working counts'!B31/'Working counts'!B$21</f>
        <v>0.006667286467533502</v>
      </c>
      <c r="C31" s="31">
        <f>'Working counts'!C31/'Working counts'!C$21</f>
        <v>0.007208180692090767</v>
      </c>
      <c r="D31" s="31">
        <f>'Working counts'!D31/'Working counts'!D$21</f>
        <v>0.00744007324023571</v>
      </c>
      <c r="E31" s="31">
        <f>'Working counts'!E31/'Working counts'!E$21</f>
        <v>0.007779010540118009</v>
      </c>
      <c r="F31" s="31">
        <f>'Working counts'!F31/'Working counts'!F$21</f>
        <v>0.0073839139699687795</v>
      </c>
      <c r="G31" s="31">
        <f>'Working counts'!G31/'Working counts'!G$21</f>
        <v>0.007533229509977908</v>
      </c>
      <c r="H31" s="31">
        <f>'Working counts'!H31/'Working counts'!H$21</f>
        <v>0.008003688553661362</v>
      </c>
      <c r="I31" s="31">
        <f>'Working counts'!I31/'Working counts'!I$21</f>
        <v>0.008776620478006137</v>
      </c>
      <c r="J31" s="31">
        <f>'Working counts'!J31/'Working counts'!J$21</f>
        <v>0.009061488673139158</v>
      </c>
      <c r="K31" s="31">
        <f>'Working counts'!K31/'Working counts'!K$21</f>
        <v>0.010417234796836651</v>
      </c>
      <c r="L31" s="31">
        <f>'Working counts'!L31/'Working counts'!L$21</f>
        <v>0.01165903523550631</v>
      </c>
      <c r="M31" s="31">
        <f>'Working counts'!M31/'Working counts'!M$21</f>
        <v>0.0111806842658919</v>
      </c>
      <c r="N31" s="31">
        <f>'Working counts'!N31/'Working counts'!N$21</f>
        <v>0.010848414088344036</v>
      </c>
      <c r="O31" s="31">
        <f>'Working counts'!O31/'Working counts'!O$21</f>
        <v>0.01007225320034556</v>
      </c>
      <c r="P31" s="31">
        <f>'Working counts'!P31/'Working counts'!P$21</f>
        <v>0.008587546608450378</v>
      </c>
      <c r="Q31" s="31">
        <f>'Working counts'!Q31/'Working counts'!Q$21</f>
        <v>0.008618178058889318</v>
      </c>
      <c r="R31" s="31">
        <f>'Working counts'!R31/'Working counts'!R$21</f>
        <v>0.009552069309741645</v>
      </c>
      <c r="S31" s="31">
        <f>'Working counts'!S31/'Working counts'!S$21</f>
        <v>0.008647098635699783</v>
      </c>
      <c r="T31" s="31">
        <f>'Working counts'!T31/'Working counts'!T$21</f>
        <v>0.010712008135266033</v>
      </c>
      <c r="U31" s="31">
        <f>'Working counts'!U31/'Working counts'!U$21</f>
        <v>0.01095460323689756</v>
      </c>
      <c r="V31" s="31">
        <f>'Working counts'!V31/'Working counts'!V$21</f>
        <v>0.01162346928616467</v>
      </c>
      <c r="W31" t="s">
        <v>334</v>
      </c>
      <c r="X31" s="59">
        <f t="shared" si="0"/>
        <v>0.01165903523550631</v>
      </c>
      <c r="Y31" t="s">
        <v>335</v>
      </c>
      <c r="Z31" s="59">
        <f t="shared" si="1"/>
        <v>0.006667286467533502</v>
      </c>
      <c r="AM31" s="9"/>
    </row>
    <row r="32" spans="1:39" ht="12.75">
      <c r="A32" s="13" t="s">
        <v>392</v>
      </c>
      <c r="B32" s="31">
        <f>'Working counts'!B32/'Working counts'!B$21</f>
        <v>0.009788426546956556</v>
      </c>
      <c r="C32" s="31">
        <f>'Working counts'!C32/'Working counts'!C$21</f>
        <v>0.007893419075982394</v>
      </c>
      <c r="D32" s="31">
        <f>'Working counts'!D32/'Working counts'!D$21</f>
        <v>0.008600569932820136</v>
      </c>
      <c r="E32" s="31">
        <f>'Working counts'!E32/'Working counts'!E$21</f>
        <v>0.010527510212315296</v>
      </c>
      <c r="F32" s="31">
        <f>'Working counts'!F32/'Working counts'!F$21</f>
        <v>0.009973239506417562</v>
      </c>
      <c r="G32" s="31">
        <f>'Working counts'!G32/'Working counts'!G$21</f>
        <v>0.009319957021959847</v>
      </c>
      <c r="H32" s="31">
        <f>'Working counts'!H32/'Working counts'!H$21</f>
        <v>0.011810465088785378</v>
      </c>
      <c r="I32" s="31">
        <f>'Working counts'!I32/'Working counts'!I$21</f>
        <v>0.010311075978796614</v>
      </c>
      <c r="J32" s="31">
        <f>'Working counts'!J32/'Working counts'!J$21</f>
        <v>0.009530186363129115</v>
      </c>
      <c r="K32" s="31">
        <f>'Working counts'!K32/'Working counts'!K$21</f>
        <v>0.010962639760021816</v>
      </c>
      <c r="L32" s="31">
        <f>'Working counts'!L32/'Working counts'!L$21</f>
        <v>0.0092507416097324</v>
      </c>
      <c r="M32" s="31">
        <f>'Working counts'!M32/'Working counts'!M$21</f>
        <v>0.008465661473726394</v>
      </c>
      <c r="N32" s="31">
        <f>'Working counts'!N32/'Working counts'!N$21</f>
        <v>0.007793345008756568</v>
      </c>
      <c r="O32" s="31">
        <f>'Working counts'!O32/'Working counts'!O$21</f>
        <v>0.007402026231053169</v>
      </c>
      <c r="P32" s="31">
        <f>'Working counts'!P32/'Working counts'!P$21</f>
        <v>0.008519928131218485</v>
      </c>
      <c r="Q32" s="31">
        <f>'Working counts'!Q32/'Working counts'!Q$21</f>
        <v>0.006484779564485964</v>
      </c>
      <c r="R32" s="31">
        <f>'Working counts'!R32/'Working counts'!R$21</f>
        <v>0.006896172761491332</v>
      </c>
      <c r="S32" s="31">
        <f>'Working counts'!S32/'Working counts'!S$21</f>
        <v>0.006883838563744523</v>
      </c>
      <c r="T32" s="31">
        <f>'Working counts'!T32/'Working counts'!T$21</f>
        <v>0.0062996604560574985</v>
      </c>
      <c r="U32" s="31">
        <f>'Working counts'!U32/'Working counts'!U$21</f>
        <v>0.007951472131455238</v>
      </c>
      <c r="V32" s="31">
        <f>'Working counts'!V32/'Working counts'!V$21</f>
        <v>0.008246772641290279</v>
      </c>
      <c r="W32" t="s">
        <v>334</v>
      </c>
      <c r="X32" s="59">
        <f t="shared" si="0"/>
        <v>0.011810465088785378</v>
      </c>
      <c r="Y32" t="s">
        <v>335</v>
      </c>
      <c r="Z32" s="59">
        <f t="shared" si="1"/>
        <v>0.0062996604560574985</v>
      </c>
      <c r="AM32" s="9"/>
    </row>
    <row r="33" spans="1:39" ht="12.75">
      <c r="A33" s="13" t="s">
        <v>393</v>
      </c>
      <c r="B33" s="31">
        <f>'Working counts'!B33/'Working counts'!B$21</f>
        <v>0.017000252347495783</v>
      </c>
      <c r="C33" s="31">
        <f>'Working counts'!C33/'Working counts'!C$21</f>
        <v>0.014442716706638905</v>
      </c>
      <c r="D33" s="31">
        <f>'Working counts'!D33/'Working counts'!D$21</f>
        <v>0.013539128080151638</v>
      </c>
      <c r="E33" s="31">
        <f>'Working counts'!E33/'Working counts'!E$21</f>
        <v>0.013855968530939533</v>
      </c>
      <c r="F33" s="31">
        <f>'Working counts'!F33/'Working counts'!F$21</f>
        <v>0.013677585608801229</v>
      </c>
      <c r="G33" s="31">
        <f>'Working counts'!G33/'Working counts'!G$21</f>
        <v>0.014076515398452307</v>
      </c>
      <c r="H33" s="31">
        <f>'Working counts'!H33/'Working counts'!H$21</f>
        <v>0.014174922564017686</v>
      </c>
      <c r="I33" s="31">
        <f>'Working counts'!I33/'Working counts'!I$21</f>
        <v>0.015146935738863573</v>
      </c>
      <c r="J33" s="31">
        <f>'Working counts'!J33/'Working counts'!J$21</f>
        <v>0.016281664992746345</v>
      </c>
      <c r="K33" s="31">
        <f>'Working counts'!K33/'Working counts'!K$21</f>
        <v>0.015914916825743114</v>
      </c>
      <c r="L33" s="31">
        <f>'Working counts'!L33/'Working counts'!L$21</f>
        <v>0.022687572998170525</v>
      </c>
      <c r="M33" s="31">
        <f>'Working counts'!M33/'Working counts'!M$21</f>
        <v>0.0223012573260532</v>
      </c>
      <c r="N33" s="31">
        <f>'Working counts'!N33/'Working counts'!N$21</f>
        <v>0.026444833625218916</v>
      </c>
      <c r="O33" s="31">
        <f>'Working counts'!O33/'Working counts'!O$21</f>
        <v>0.02563221550302364</v>
      </c>
      <c r="P33" s="31">
        <f>'Working counts'!P33/'Working counts'!P$21</f>
        <v>0.0242074148490176</v>
      </c>
      <c r="Q33" s="31">
        <f>'Working counts'!Q33/'Working counts'!Q$21</f>
        <v>0.025910923564185222</v>
      </c>
      <c r="R33" s="31">
        <f>'Working counts'!R33/'Working counts'!R$21</f>
        <v>0.025606506030716816</v>
      </c>
      <c r="S33" s="31">
        <f>'Working counts'!S33/'Working counts'!S$21</f>
        <v>0.023581377123926904</v>
      </c>
      <c r="T33" s="31">
        <f>'Working counts'!T33/'Working counts'!T$21</f>
        <v>0.022354745859115118</v>
      </c>
      <c r="U33" s="31">
        <f>'Working counts'!U33/'Working counts'!U$21</f>
        <v>0.022583204648027915</v>
      </c>
      <c r="V33" s="31">
        <f>'Working counts'!V33/'Working counts'!V$21</f>
        <v>0.02235920751335745</v>
      </c>
      <c r="W33" t="s">
        <v>334</v>
      </c>
      <c r="X33" s="59">
        <f t="shared" si="0"/>
        <v>0.026444833625218916</v>
      </c>
      <c r="Y33" t="s">
        <v>335</v>
      </c>
      <c r="Z33" s="59">
        <f t="shared" si="1"/>
        <v>0.013539128080151638</v>
      </c>
      <c r="AM33" s="9"/>
    </row>
    <row r="34" spans="1:39" ht="12.75">
      <c r="A34" s="13" t="s">
        <v>394</v>
      </c>
      <c r="B34" s="31">
        <f>'Working counts'!B34/'Working counts'!B$21</f>
        <v>0.025141779448288687</v>
      </c>
      <c r="C34" s="31">
        <f>'Working counts'!C34/'Working counts'!C$21</f>
        <v>0.015602350894763197</v>
      </c>
      <c r="D34" s="31">
        <f>'Working counts'!D34/'Working counts'!D$21</f>
        <v>0.016066431988446612</v>
      </c>
      <c r="E34" s="31">
        <f>'Working counts'!E34/'Working counts'!E$21</f>
        <v>0.015343688536991276</v>
      </c>
      <c r="F34" s="31">
        <f>'Working counts'!F34/'Working counts'!F$21</f>
        <v>0.01733237524158779</v>
      </c>
      <c r="G34" s="31">
        <f>'Working counts'!G34/'Working counts'!G$21</f>
        <v>0.018845146258133834</v>
      </c>
      <c r="H34" s="31">
        <f>'Working counts'!H34/'Working counts'!H$21</f>
        <v>0.018206322559288772</v>
      </c>
      <c r="I34" s="31">
        <f>'Working counts'!I34/'Working counts'!I$21</f>
        <v>0.01756486561889705</v>
      </c>
      <c r="J34" s="31">
        <f>'Working counts'!J34/'Working counts'!J$21</f>
        <v>0.01870326972436112</v>
      </c>
      <c r="K34" s="31">
        <f>'Working counts'!K34/'Working counts'!K$21</f>
        <v>0.018674665939460048</v>
      </c>
      <c r="L34" s="31">
        <f>'Working counts'!L34/'Working counts'!L$21</f>
        <v>0.016403270318039464</v>
      </c>
      <c r="M34" s="31">
        <f>'Working counts'!M34/'Working counts'!M$21</f>
        <v>0.01849421429644843</v>
      </c>
      <c r="N34" s="31">
        <f>'Working counts'!N34/'Working counts'!N$21</f>
        <v>0.01769799571901148</v>
      </c>
      <c r="O34" s="31">
        <f>'Working counts'!O34/'Working counts'!O$21</f>
        <v>0.016129348935836018</v>
      </c>
      <c r="P34" s="31">
        <f>'Working counts'!P34/'Working counts'!P$21</f>
        <v>0.01806379320337706</v>
      </c>
      <c r="Q34" s="31">
        <f>'Working counts'!Q34/'Working counts'!Q$21</f>
        <v>0.015798426736088268</v>
      </c>
      <c r="R34" s="31">
        <f>'Working counts'!R34/'Working counts'!R$21</f>
        <v>0.020404612101729995</v>
      </c>
      <c r="S34" s="31">
        <f>'Working counts'!S34/'Working counts'!S$21</f>
        <v>0.021176931571260642</v>
      </c>
      <c r="T34" s="31">
        <f>'Working counts'!T34/'Working counts'!T$21</f>
        <v>0.019760768024267912</v>
      </c>
      <c r="U34" s="31">
        <f>'Working counts'!U34/'Working counts'!U$21</f>
        <v>0.024818489732192372</v>
      </c>
      <c r="V34" s="31">
        <f>'Working counts'!V34/'Working counts'!V$21</f>
        <v>0.023761324793415858</v>
      </c>
      <c r="W34" t="s">
        <v>334</v>
      </c>
      <c r="X34" s="59">
        <f t="shared" si="0"/>
        <v>0.025141779448288687</v>
      </c>
      <c r="Y34" t="s">
        <v>335</v>
      </c>
      <c r="Z34" s="59">
        <f t="shared" si="1"/>
        <v>0.015343688536991276</v>
      </c>
      <c r="AM34" s="9"/>
    </row>
    <row r="35" spans="1:39" ht="12.75">
      <c r="A35" s="5"/>
      <c r="B35" s="31">
        <f>B29-SUM(B30:B34)</f>
        <v>-1.3281447146490377E-05</v>
      </c>
      <c r="C35" s="31">
        <f aca="true" t="shared" si="2" ref="C35:V35">C29-SUM(C30:C34)</f>
        <v>0</v>
      </c>
      <c r="D35" s="31">
        <f t="shared" si="2"/>
        <v>1.2894407695376864E-05</v>
      </c>
      <c r="E35" s="31">
        <f t="shared" si="2"/>
        <v>-1.2607796661456838E-05</v>
      </c>
      <c r="F35" s="31">
        <f t="shared" si="2"/>
        <v>0</v>
      </c>
      <c r="G35" s="31">
        <f t="shared" si="2"/>
        <v>-1.2072483189060068E-05</v>
      </c>
      <c r="H35" s="31">
        <f t="shared" si="2"/>
        <v>-1.1822287376159202E-05</v>
      </c>
      <c r="I35" s="31">
        <f t="shared" si="2"/>
        <v>0</v>
      </c>
      <c r="J35" s="31">
        <f t="shared" si="2"/>
        <v>0</v>
      </c>
      <c r="K35" s="31">
        <f t="shared" si="2"/>
        <v>0</v>
      </c>
      <c r="L35" s="31">
        <f t="shared" si="2"/>
        <v>1.0336024144949607E-05</v>
      </c>
      <c r="M35" s="31">
        <f t="shared" si="2"/>
        <v>-1.0018534288433467E-05</v>
      </c>
      <c r="N35" s="31">
        <f t="shared" si="2"/>
        <v>0</v>
      </c>
      <c r="O35" s="31">
        <f t="shared" si="2"/>
        <v>-9.81701091652687E-06</v>
      </c>
      <c r="P35" s="31">
        <f t="shared" si="2"/>
        <v>9.659782461701738E-06</v>
      </c>
      <c r="Q35" s="31">
        <f t="shared" si="2"/>
        <v>-9.398231252871758E-06</v>
      </c>
      <c r="R35" s="31">
        <f t="shared" si="2"/>
        <v>0</v>
      </c>
      <c r="S35" s="31">
        <f t="shared" si="2"/>
        <v>0</v>
      </c>
      <c r="T35" s="31">
        <f t="shared" si="2"/>
        <v>0</v>
      </c>
      <c r="U35" s="31">
        <f t="shared" si="2"/>
        <v>0</v>
      </c>
      <c r="V35" s="31">
        <f t="shared" si="2"/>
        <v>-8.29655195301593E-06</v>
      </c>
      <c r="X35" s="59"/>
      <c r="Z35" s="59"/>
      <c r="AM35" s="9"/>
    </row>
    <row r="36" spans="1:22" ht="12.75">
      <c r="A36" s="2"/>
      <c r="R36" s="10"/>
      <c r="S36" s="10"/>
      <c r="T36" s="10"/>
      <c r="U36" s="10"/>
      <c r="V36" s="10"/>
    </row>
    <row r="37" ht="12.75">
      <c r="A37" s="18" t="s">
        <v>268</v>
      </c>
    </row>
    <row r="38" spans="1:22" ht="12.75">
      <c r="A38" s="4" t="s">
        <v>72</v>
      </c>
      <c r="B38" s="9">
        <v>44653</v>
      </c>
      <c r="C38" s="9">
        <v>45784</v>
      </c>
      <c r="D38" s="9">
        <v>46867</v>
      </c>
      <c r="E38" s="9">
        <v>47904</v>
      </c>
      <c r="F38" s="9">
        <v>48765</v>
      </c>
      <c r="G38" s="9">
        <v>50283</v>
      </c>
      <c r="H38" s="9">
        <v>51411</v>
      </c>
      <c r="I38" s="9">
        <v>52516</v>
      </c>
      <c r="J38" s="9">
        <v>54342</v>
      </c>
      <c r="K38" s="9">
        <v>54724</v>
      </c>
      <c r="L38" s="9">
        <v>56145</v>
      </c>
      <c r="M38" s="9">
        <v>58164</v>
      </c>
      <c r="N38" s="9">
        <v>59916</v>
      </c>
      <c r="O38" s="9">
        <v>59796</v>
      </c>
      <c r="P38" s="9">
        <v>61252</v>
      </c>
      <c r="Q38" s="9">
        <v>63544</v>
      </c>
      <c r="R38" s="10">
        <v>65487</v>
      </c>
      <c r="S38" s="10">
        <v>68796</v>
      </c>
      <c r="T38" s="10">
        <v>72265</v>
      </c>
      <c r="U38" s="10">
        <v>72238</v>
      </c>
      <c r="V38" s="10">
        <v>74931</v>
      </c>
    </row>
    <row r="39" spans="1:22" ht="12.75">
      <c r="A39" s="4" t="s">
        <v>74</v>
      </c>
      <c r="B39" s="9">
        <v>24684</v>
      </c>
      <c r="C39" s="9">
        <v>25046</v>
      </c>
      <c r="D39" s="9">
        <v>25656</v>
      </c>
      <c r="E39" s="9">
        <v>26101</v>
      </c>
      <c r="F39" s="9">
        <v>26515</v>
      </c>
      <c r="G39" s="9">
        <v>26884</v>
      </c>
      <c r="H39" s="9">
        <v>27160</v>
      </c>
      <c r="I39" s="9">
        <v>27556</v>
      </c>
      <c r="J39" s="9">
        <v>28833</v>
      </c>
      <c r="K39" s="9">
        <v>29914</v>
      </c>
      <c r="L39" s="9">
        <v>32280</v>
      </c>
      <c r="M39" s="9">
        <v>32724</v>
      </c>
      <c r="N39" s="9">
        <v>33767</v>
      </c>
      <c r="O39" s="9">
        <v>33351</v>
      </c>
      <c r="P39" s="9">
        <v>33472</v>
      </c>
      <c r="Q39" s="9">
        <v>34150</v>
      </c>
      <c r="R39" s="10">
        <v>34000</v>
      </c>
      <c r="S39" s="10">
        <v>34007</v>
      </c>
      <c r="T39" s="10">
        <v>33996</v>
      </c>
      <c r="U39" s="10">
        <v>33604</v>
      </c>
      <c r="V39" s="10">
        <v>33940</v>
      </c>
    </row>
    <row r="40" spans="1:22" ht="12.75">
      <c r="A40" s="4" t="s">
        <v>73</v>
      </c>
      <c r="B40" s="36">
        <v>0.644</v>
      </c>
      <c r="C40" s="36">
        <v>0.646</v>
      </c>
      <c r="D40" s="36">
        <v>0.646</v>
      </c>
      <c r="E40" s="36">
        <v>0.647</v>
      </c>
      <c r="F40" s="36">
        <v>0.648</v>
      </c>
      <c r="G40" s="36">
        <v>0.652</v>
      </c>
      <c r="H40" s="36">
        <v>0.654</v>
      </c>
      <c r="I40" s="36">
        <v>0.656</v>
      </c>
      <c r="J40" s="36">
        <v>0.653</v>
      </c>
      <c r="K40" s="36">
        <v>0.647</v>
      </c>
      <c r="L40" s="36">
        <v>0.635</v>
      </c>
      <c r="M40" s="35">
        <v>0.6399524689728017</v>
      </c>
      <c r="N40" s="35">
        <v>0.6395610729801565</v>
      </c>
      <c r="O40" s="35">
        <v>0.6419530419659248</v>
      </c>
      <c r="P40" s="35">
        <v>0.6466365440648622</v>
      </c>
      <c r="Q40" s="35">
        <v>0.6504457842424739</v>
      </c>
      <c r="R40" s="35">
        <v>0.6582468061153719</v>
      </c>
      <c r="S40" s="35">
        <v>0.6692022606344172</v>
      </c>
      <c r="T40" s="35">
        <v>0.6800707691439004</v>
      </c>
      <c r="U40" s="35">
        <v>0.6825078891177415</v>
      </c>
      <c r="V40" s="35">
        <v>0.6882549071837312</v>
      </c>
    </row>
    <row r="41" spans="1:22" ht="12.75">
      <c r="A41" s="16" t="s">
        <v>82</v>
      </c>
      <c r="R41" s="10"/>
      <c r="S41" s="10"/>
      <c r="T41" s="10"/>
      <c r="U41" s="10"/>
      <c r="V41" s="10"/>
    </row>
    <row r="42" spans="1:39" ht="12.75">
      <c r="A42" s="3" t="s">
        <v>78</v>
      </c>
      <c r="B42" s="60" t="e">
        <f>'Working counts'!B43/'Working counts'!B$28</f>
        <v>#VALUE!</v>
      </c>
      <c r="C42" s="60">
        <f>'Working counts'!C43/'Working counts'!C$28</f>
        <v>0.7246223351687138</v>
      </c>
      <c r="D42" s="60">
        <f>'Working counts'!D43/'Working counts'!D$28</f>
        <v>0.7210677991809495</v>
      </c>
      <c r="E42" s="60">
        <f>'Working counts'!E43/'Working counts'!E$28</f>
        <v>0.7171677589352071</v>
      </c>
      <c r="F42" s="60">
        <f>'Working counts'!F43/'Working counts'!F$28</f>
        <v>0.7133235919234856</v>
      </c>
      <c r="G42" s="60">
        <f>'Working counts'!G43/'Working counts'!G$28</f>
        <v>0.7111459561729755</v>
      </c>
      <c r="H42" s="60">
        <f>'Working counts'!H43/'Working counts'!H$28</f>
        <v>0.7062439545894211</v>
      </c>
      <c r="I42" s="60">
        <f>'Working counts'!I43/'Working counts'!I$28</f>
        <v>0.6995578978918973</v>
      </c>
      <c r="J42" s="60">
        <f>'Working counts'!J43/'Working counts'!J$28</f>
        <v>0.6976375112714157</v>
      </c>
      <c r="K42" s="60">
        <f>'Working counts'!K43/'Working counts'!K$28</f>
        <v>0.6929984167867861</v>
      </c>
      <c r="L42" s="60">
        <f>'Working counts'!L43/'Working counts'!L$28</f>
        <v>0.7489963245688437</v>
      </c>
      <c r="M42" s="60">
        <f>'Working counts'!M43/'Working counts'!M$28</f>
        <v>0.745356922806091</v>
      </c>
      <c r="N42" s="60">
        <f>'Working counts'!N43/'Working counts'!N$28</f>
        <v>0.7396539393486545</v>
      </c>
      <c r="O42" s="60">
        <f>'Working counts'!O43/'Working counts'!O$28</f>
        <v>0.7353645313321954</v>
      </c>
      <c r="P42" s="60">
        <f>'Working counts'!P43/'Working counts'!P$28</f>
        <v>0.7293822051433638</v>
      </c>
      <c r="Q42" s="60">
        <f>'Working counts'!Q43/'Working counts'!Q$28</f>
        <v>0.7235216443348039</v>
      </c>
      <c r="R42" s="60">
        <f>'Working counts'!R43/'Working counts'!R$28</f>
        <v>0.7168474273020595</v>
      </c>
      <c r="S42" s="60">
        <f>'Working counts'!S43/'Working counts'!S$28</f>
        <v>0.7126153906014416</v>
      </c>
      <c r="T42" s="60">
        <f>'Working counts'!T43/'Working counts'!T$28</f>
        <v>0.7448264179708454</v>
      </c>
      <c r="U42" s="60">
        <f>'Working counts'!U43/'Working counts'!U$28</f>
        <v>0.7404338542355586</v>
      </c>
      <c r="V42" s="60">
        <f>'Working counts'!V43/'Working counts'!V$28</f>
        <v>0.7463695566312425</v>
      </c>
      <c r="W42" t="s">
        <v>333</v>
      </c>
      <c r="X42" s="59">
        <f>V42-C42</f>
        <v>0.02174722146252872</v>
      </c>
      <c r="AM42" s="9"/>
    </row>
    <row r="43" spans="1:39" ht="12.75">
      <c r="A43" s="3" t="s">
        <v>79</v>
      </c>
      <c r="B43" s="60" t="e">
        <f>'Working counts'!B44/'Working counts'!B$28</f>
        <v>#VALUE!</v>
      </c>
      <c r="C43" s="60">
        <f>'Working counts'!C44/'Working counts'!C$28</f>
        <v>0.2753776648312862</v>
      </c>
      <c r="D43" s="60">
        <f>'Working counts'!D44/'Working counts'!D$28</f>
        <v>0.2789322008190505</v>
      </c>
      <c r="E43" s="60">
        <f>'Working counts'!E44/'Working counts'!E$28</f>
        <v>0.28283224106479293</v>
      </c>
      <c r="F43" s="60">
        <f>'Working counts'!F44/'Working counts'!F$28</f>
        <v>0.28667640807651434</v>
      </c>
      <c r="G43" s="60">
        <f>'Working counts'!G44/'Working counts'!G$28</f>
        <v>0.2888540438270245</v>
      </c>
      <c r="H43" s="60">
        <f>'Working counts'!H44/'Working counts'!H$28</f>
        <v>0.2937433182304129</v>
      </c>
      <c r="I43" s="60">
        <f>'Working counts'!I44/'Working counts'!I$28</f>
        <v>0.3004296133479868</v>
      </c>
      <c r="J43" s="60">
        <f>'Working counts'!J44/'Working counts'!J$28</f>
        <v>0.3023624887285843</v>
      </c>
      <c r="K43" s="60">
        <f>'Working counts'!K44/'Working counts'!K$28</f>
        <v>0.3070015832132139</v>
      </c>
      <c r="L43" s="60">
        <f>'Working counts'!L44/'Working counts'!L$28</f>
        <v>0.25100367543115637</v>
      </c>
      <c r="M43" s="60">
        <f>'Working counts'!M44/'Working counts'!M$28</f>
        <v>0.25463207464131676</v>
      </c>
      <c r="N43" s="60">
        <f>'Working counts'!N44/'Working counts'!N$28</f>
        <v>0.26034606065134547</v>
      </c>
      <c r="O43" s="60">
        <f>'Working counts'!O44/'Working counts'!O$28</f>
        <v>0.26463546866780463</v>
      </c>
      <c r="P43" s="60">
        <f>'Working counts'!P44/'Working counts'!P$28</f>
        <v>0.2706072378700224</v>
      </c>
      <c r="Q43" s="60">
        <f>'Working counts'!Q44/'Working counts'!Q$28</f>
        <v>0.2764783556651961</v>
      </c>
      <c r="R43" s="60">
        <f>'Working counts'!R44/'Working counts'!R$28</f>
        <v>0.2831525726979404</v>
      </c>
      <c r="S43" s="60">
        <f>'Working counts'!S44/'Working counts'!S$28</f>
        <v>0.2873846093985584</v>
      </c>
      <c r="T43" s="60">
        <f>'Working counts'!T44/'Working counts'!T$28</f>
        <v>0.25517358202915463</v>
      </c>
      <c r="U43" s="60">
        <f>'Working counts'!U44/'Working counts'!U$28</f>
        <v>0.2595755938096408</v>
      </c>
      <c r="V43" s="60">
        <f>'Working counts'!V44/'Working counts'!V$28</f>
        <v>0.2536304433687575</v>
      </c>
      <c r="W43" t="s">
        <v>333</v>
      </c>
      <c r="X43" s="59">
        <f>V43-C43</f>
        <v>-0.021747221462528665</v>
      </c>
      <c r="AM43" s="9"/>
    </row>
    <row r="44" spans="1:22" ht="12.75">
      <c r="A44" s="2"/>
      <c r="R44" s="10"/>
      <c r="S44" s="10"/>
      <c r="T44" s="10"/>
      <c r="U44" s="10"/>
      <c r="V44" s="10"/>
    </row>
    <row r="45" spans="1:22" ht="12.75">
      <c r="A45" s="17" t="s">
        <v>83</v>
      </c>
      <c r="R45" s="10"/>
      <c r="S45" s="10"/>
      <c r="T45" s="10"/>
      <c r="U45" s="10"/>
      <c r="V45" s="10"/>
    </row>
    <row r="46" spans="1:22" ht="12.75">
      <c r="A46" s="2"/>
      <c r="R46" s="10"/>
      <c r="S46" s="10"/>
      <c r="T46" s="10"/>
      <c r="U46" s="10"/>
      <c r="V46" s="10"/>
    </row>
    <row r="47" spans="1:22" ht="12.75">
      <c r="A47" s="2" t="s">
        <v>344</v>
      </c>
      <c r="R47" s="10"/>
      <c r="S47" s="10"/>
      <c r="T47" s="10"/>
      <c r="U47" s="10"/>
      <c r="V47" s="10"/>
    </row>
    <row r="48" spans="1:39" ht="12.75">
      <c r="A48" s="2" t="s">
        <v>2</v>
      </c>
      <c r="B48" s="31">
        <f>'Working counts'!B49/'Working counts'!B$21</f>
        <v>0.6368852350152072</v>
      </c>
      <c r="C48" s="31">
        <f>'Working counts'!C49/'Working counts'!C$21</f>
        <v>0.6356244893656274</v>
      </c>
      <c r="D48" s="31">
        <f>'Working counts'!D49/'Working counts'!D$21</f>
        <v>0.6381313424367852</v>
      </c>
      <c r="E48" s="31">
        <f>'Working counts'!E49/'Working counts'!E$21</f>
        <v>0.6363785364869635</v>
      </c>
      <c r="F48" s="31">
        <f>'Working counts'!F49/'Working counts'!F$21</f>
        <v>0.6346697061301353</v>
      </c>
      <c r="G48" s="31">
        <f>'Working counts'!G49/'Working counts'!G$21</f>
        <v>0.6323083795105815</v>
      </c>
      <c r="H48" s="31">
        <f>'Working counts'!H49/'Working counts'!H$21</f>
        <v>0.6369730215402076</v>
      </c>
      <c r="I48" s="31">
        <f>'Working counts'!I49/'Working counts'!I$21</f>
        <v>0.6373337673207476</v>
      </c>
      <c r="J48" s="31">
        <f>'Working counts'!J49/'Working counts'!J$21</f>
        <v>0.6335453632407098</v>
      </c>
      <c r="K48" s="31">
        <f>'Working counts'!K49/'Working counts'!K$21</f>
        <v>0.6220779929097355</v>
      </c>
      <c r="L48" s="31">
        <f>'Working counts'!L49/'Working counts'!L$21</f>
        <v>0.6074791470712876</v>
      </c>
      <c r="M48" s="31">
        <f>'Working counts'!M49/'Working counts'!M$21</f>
        <v>0.6014526874718229</v>
      </c>
      <c r="N48" s="31">
        <f>'Working counts'!N49/'Working counts'!N$21</f>
        <v>0.6021210352208601</v>
      </c>
      <c r="O48" s="31">
        <f>'Working counts'!O49/'Working counts'!O$21</f>
        <v>0.5989260190057332</v>
      </c>
      <c r="P48" s="31">
        <f>'Working counts'!P49/'Working counts'!P$21</f>
        <v>0.6034949092946427</v>
      </c>
      <c r="Q48" s="31">
        <f>'Working counts'!Q49/'Working counts'!Q$21</f>
        <v>0.6049171545915059</v>
      </c>
      <c r="R48" s="31">
        <f>'Working counts'!R49/'Working counts'!R$21</f>
        <v>0.60699141870667</v>
      </c>
      <c r="S48" s="31">
        <f>'Working counts'!S49/'Working counts'!S$21</f>
        <v>0.6109072774552061</v>
      </c>
      <c r="T48" s="31">
        <f>'Working counts'!T49/'Working counts'!T$21</f>
        <v>0.6164101415053689</v>
      </c>
      <c r="U48" s="31">
        <f>'Working counts'!U49/'Working counts'!U$21</f>
        <v>0.6218017080308162</v>
      </c>
      <c r="V48" s="31">
        <f>'Working counts'!V49/'Working counts'!V$21</f>
        <v>0.6256927620880762</v>
      </c>
      <c r="W48" t="s">
        <v>333</v>
      </c>
      <c r="X48" s="59">
        <f>V48-B48</f>
        <v>-0.011192472927130992</v>
      </c>
      <c r="Y48" t="s">
        <v>333</v>
      </c>
      <c r="Z48" s="59">
        <f>V48-L48</f>
        <v>0.018213615016788642</v>
      </c>
      <c r="AA48" s="59">
        <f>V48+V49+V50+V55+V56</f>
        <v>1</v>
      </c>
      <c r="AM48" s="9"/>
    </row>
    <row r="49" spans="1:39" ht="12.75">
      <c r="A49" s="2" t="s">
        <v>3</v>
      </c>
      <c r="B49" s="31">
        <f>'Working counts'!B50/'Working counts'!B$21</f>
        <v>0.04428034478636792</v>
      </c>
      <c r="C49" s="31">
        <f>'Working counts'!C50/'Working counts'!C$21</f>
        <v>0.04017868908626097</v>
      </c>
      <c r="D49" s="31">
        <f>'Working counts'!D50/'Working counts'!D$21</f>
        <v>0.04034660167885188</v>
      </c>
      <c r="E49" s="31">
        <f>'Working counts'!E50/'Working counts'!E$21</f>
        <v>0.03953805033032427</v>
      </c>
      <c r="F49" s="31">
        <f>'Working counts'!F50/'Working counts'!F$21</f>
        <v>0.03846820952475346</v>
      </c>
      <c r="G49" s="31">
        <f>'Working counts'!G50/'Working counts'!G$21</f>
        <v>0.03799210459599435</v>
      </c>
      <c r="H49" s="31">
        <f>'Working counts'!H50/'Working counts'!H$21</f>
        <v>0.0402075993663254</v>
      </c>
      <c r="I49" s="31">
        <f>'Working counts'!I50/'Working counts'!I$21</f>
        <v>0.03986096903189808</v>
      </c>
      <c r="J49" s="31">
        <f>'Working counts'!J50/'Working counts'!J$21</f>
        <v>0.041189599375069746</v>
      </c>
      <c r="K49" s="31">
        <f>'Working counts'!K50/'Working counts'!K$21</f>
        <v>0.048573766021270795</v>
      </c>
      <c r="L49" s="31">
        <f>'Working counts'!L50/'Working counts'!L$21</f>
        <v>0.04600564346918314</v>
      </c>
      <c r="M49" s="31">
        <f>'Working counts'!M50/'Working counts'!M$21</f>
        <v>0.05432049291188699</v>
      </c>
      <c r="N49" s="31">
        <f>'Working counts'!N50/'Working counts'!N$21</f>
        <v>0.05431990659661413</v>
      </c>
      <c r="O49" s="31">
        <f>'Working counts'!O50/'Working counts'!O$21</f>
        <v>0.05970706039425116</v>
      </c>
      <c r="P49" s="31">
        <f>'Working counts'!P50/'Working counts'!P$21</f>
        <v>0.05762060238403431</v>
      </c>
      <c r="Q49" s="31">
        <f>'Working counts'!Q50/'Working counts'!Q$21</f>
        <v>0.0580058832927643</v>
      </c>
      <c r="R49" s="31">
        <f>'Working counts'!R50/'Working counts'!R$21</f>
        <v>0.06064602393970199</v>
      </c>
      <c r="S49" s="31">
        <f>'Working counts'!S50/'Working counts'!S$21</f>
        <v>0.06970220496562533</v>
      </c>
      <c r="T49" s="31">
        <f>'Working counts'!T50/'Working counts'!T$21</f>
        <v>0.0711921956600424</v>
      </c>
      <c r="U49" s="31">
        <f>'Working counts'!U50/'Working counts'!U$21</f>
        <v>0.05991758452704951</v>
      </c>
      <c r="V49" s="31">
        <f>'Working counts'!V50/'Working counts'!V$21</f>
        <v>0.05682308432615405</v>
      </c>
      <c r="W49" t="s">
        <v>333</v>
      </c>
      <c r="X49" s="59">
        <f>V49-B49</f>
        <v>0.01254273953978613</v>
      </c>
      <c r="Y49" t="s">
        <v>333</v>
      </c>
      <c r="Z49" s="59">
        <f aca="true" t="shared" si="3" ref="Z49:Z56">V49-L49</f>
        <v>0.010817440856970909</v>
      </c>
      <c r="AM49" s="9"/>
    </row>
    <row r="50" spans="1:39" ht="12.75">
      <c r="A50" s="2" t="s">
        <v>4</v>
      </c>
      <c r="B50" s="31">
        <f>'Working counts'!B51/'Working counts'!B$21</f>
        <v>0.12801986904493112</v>
      </c>
      <c r="C50" s="31">
        <f>'Working counts'!C51/'Working counts'!C$21</f>
        <v>0.12447618796615977</v>
      </c>
      <c r="D50" s="31">
        <f>'Working counts'!D51/'Working counts'!D$21</f>
        <v>0.1263909842301394</v>
      </c>
      <c r="E50" s="31">
        <f>'Working counts'!E51/'Working counts'!E$21</f>
        <v>0.1284608401835695</v>
      </c>
      <c r="F50" s="31">
        <f>'Working counts'!F51/'Working counts'!F$21</f>
        <v>0.1290822141830616</v>
      </c>
      <c r="G50" s="31">
        <f>'Working counts'!G51/'Working counts'!G$21</f>
        <v>0.12982748421522822</v>
      </c>
      <c r="H50" s="31">
        <f>'Working counts'!H51/'Working counts'!H$21</f>
        <v>0.1275033693519022</v>
      </c>
      <c r="I50" s="31">
        <f>'Working counts'!I51/'Working counts'!I$21</f>
        <v>0.1257323537617409</v>
      </c>
      <c r="J50" s="31">
        <f>'Working counts'!J51/'Working counts'!J$21</f>
        <v>0.12315589777926571</v>
      </c>
      <c r="K50" s="31">
        <f>'Working counts'!K51/'Working counts'!K$21</f>
        <v>0.12405781292609763</v>
      </c>
      <c r="L50" s="31">
        <f>'Working counts'!L51/'Working counts'!L$21</f>
        <v>0.11908133417399663</v>
      </c>
      <c r="M50" s="31">
        <f>'Working counts'!M51/'Working counts'!M$21</f>
        <v>0.10851074487802434</v>
      </c>
      <c r="N50" s="31">
        <f>'Working counts'!N51/'Working counts'!N$21</f>
        <v>0.10862035415450477</v>
      </c>
      <c r="O50" s="31">
        <f>'Working counts'!O51/'Working counts'!O$21</f>
        <v>0.10602371789837431</v>
      </c>
      <c r="P50" s="31">
        <f>'Working counts'!P51/'Working counts'!P$21</f>
        <v>0.1024516527887792</v>
      </c>
      <c r="Q50" s="31">
        <f>'Working counts'!Q51/'Working counts'!Q$21</f>
        <v>0.09939569373043994</v>
      </c>
      <c r="R50" s="31">
        <f>'Working counts'!R51/'Working counts'!R$21</f>
        <v>0.09372567336135762</v>
      </c>
      <c r="S50" s="31">
        <f>'Working counts'!S51/'Working counts'!S$21</f>
        <v>0.08729027891568411</v>
      </c>
      <c r="T50" s="31">
        <f>'Working counts'!T51/'Working counts'!T$21</f>
        <v>0.07970664782226512</v>
      </c>
      <c r="U50" s="31">
        <f>'Working counts'!U51/'Working counts'!U$21</f>
        <v>0.08414739230959552</v>
      </c>
      <c r="V50" s="31">
        <f>'Working counts'!V51/'Working counts'!V$21</f>
        <v>0.08199482295158132</v>
      </c>
      <c r="W50" t="s">
        <v>333</v>
      </c>
      <c r="X50" s="59">
        <f>V50-B50</f>
        <v>-0.0460250460933498</v>
      </c>
      <c r="Y50" t="s">
        <v>333</v>
      </c>
      <c r="Z50" s="59">
        <f t="shared" si="3"/>
        <v>-0.03708651122241531</v>
      </c>
      <c r="AM50" s="9"/>
    </row>
    <row r="51" spans="1:39" ht="12.75">
      <c r="A51" s="2" t="s">
        <v>5</v>
      </c>
      <c r="L51" s="31">
        <f>'Working counts'!L52/'Working counts'!L$21</f>
        <v>0.05231061819760411</v>
      </c>
      <c r="M51" s="31">
        <f>'Working counts'!M52/'Working counts'!M$21</f>
        <v>0.05304813905725592</v>
      </c>
      <c r="N51" s="31">
        <f>'Working counts'!N52/'Working counts'!N$21</f>
        <v>0.053512356489589415</v>
      </c>
      <c r="O51" s="31">
        <f>'Working counts'!O52/'Working counts'!O$21</f>
        <v>0.052147961988533734</v>
      </c>
      <c r="P51" s="31">
        <f>'Working counts'!P52/'Working counts'!P$21</f>
        <v>0.05259751550395085</v>
      </c>
      <c r="Q51" s="31">
        <f>'Working counts'!Q52/'Working counts'!Q$21</f>
        <v>0.05161508604080712</v>
      </c>
      <c r="R51" s="31">
        <f>'Working counts'!R52/'Working counts'!R$21</f>
        <v>0.051093954629960345</v>
      </c>
      <c r="S51" s="31">
        <f>'Working counts'!S52/'Working counts'!S$21</f>
        <v>0.04927332312186086</v>
      </c>
      <c r="T51" s="31">
        <f>'Working counts'!T52/'Working counts'!T$21</f>
        <v>0.04842379220600148</v>
      </c>
      <c r="U51" s="31">
        <f>'Working counts'!U52/'Working counts'!U$21</f>
        <v>0.0506607741594219</v>
      </c>
      <c r="V51" s="31">
        <f>'Working counts'!V52/'Working counts'!V$21</f>
        <v>0.04934789101649355</v>
      </c>
      <c r="Y51" t="s">
        <v>333</v>
      </c>
      <c r="Z51" s="59">
        <f t="shared" si="3"/>
        <v>-0.0029627271811105624</v>
      </c>
      <c r="AM51" s="9"/>
    </row>
    <row r="52" spans="1:39" ht="12.75">
      <c r="A52" s="2" t="s">
        <v>6</v>
      </c>
      <c r="L52" s="31">
        <f>'Working counts'!L53/'Working counts'!L$21</f>
        <v>0.04608833166234276</v>
      </c>
      <c r="M52" s="31">
        <f>'Working counts'!M53/'Working counts'!M$21</f>
        <v>0.047177277964233835</v>
      </c>
      <c r="N52" s="31">
        <f>'Working counts'!N53/'Working counts'!N$21</f>
        <v>0.047217357462541354</v>
      </c>
      <c r="O52" s="31">
        <f>'Working counts'!O53/'Working counts'!O$21</f>
        <v>0.046081049242126755</v>
      </c>
      <c r="P52" s="31">
        <f>'Working counts'!P53/'Working counts'!P$21</f>
        <v>0.047555109058943994</v>
      </c>
      <c r="Q52" s="31">
        <f>'Working counts'!Q53/'Working counts'!Q$21</f>
        <v>0.046981758033138164</v>
      </c>
      <c r="R52" s="31">
        <f>'Working counts'!R53/'Working counts'!R$21</f>
        <v>0.04547993882279675</v>
      </c>
      <c r="S52" s="31">
        <f>'Working counts'!S53/'Working counts'!S$21</f>
        <v>0.045274819221315855</v>
      </c>
      <c r="T52" s="31">
        <f>'Working counts'!T53/'Working counts'!T$21</f>
        <v>0.045709164239300916</v>
      </c>
      <c r="U52" s="31">
        <f>'Working counts'!U53/'Working counts'!U$21</f>
        <v>0.04568683826603305</v>
      </c>
      <c r="V52" s="31">
        <f>'Working counts'!V53/'Working counts'!V$21</f>
        <v>0.046477284040752666</v>
      </c>
      <c r="Y52" t="s">
        <v>333</v>
      </c>
      <c r="Z52" s="59">
        <f t="shared" si="3"/>
        <v>0.00038895237840990554</v>
      </c>
      <c r="AM52" s="9"/>
    </row>
    <row r="53" spans="1:39" ht="12.75">
      <c r="A53" s="5" t="s">
        <v>7</v>
      </c>
      <c r="L53" s="31">
        <f>'Working counts'!L54/'Working counts'!L$21</f>
        <v>0.03496676968237398</v>
      </c>
      <c r="M53" s="31">
        <f>'Working counts'!M54/'Working counts'!M$21</f>
        <v>0.03568601913540049</v>
      </c>
      <c r="N53" s="31">
        <f>'Working counts'!N54/'Working counts'!N$21</f>
        <v>0.03509437633780891</v>
      </c>
      <c r="O53" s="31">
        <f>'Working counts'!O54/'Working counts'!O$21</f>
        <v>0.03588117489986649</v>
      </c>
      <c r="P53" s="31">
        <f>'Working counts'!P54/'Working counts'!P$21</f>
        <v>0.03593439075752014</v>
      </c>
      <c r="Q53" s="31">
        <f>'Working counts'!Q54/'Working counts'!Q$21</f>
        <v>0.0359670310047649</v>
      </c>
      <c r="R53" s="31">
        <f>'Working counts'!R54/'Working counts'!R$21</f>
        <v>0.03481056130999808</v>
      </c>
      <c r="S53" s="31">
        <f>'Working counts'!S54/'Working counts'!S$21</f>
        <v>0.034267801802443626</v>
      </c>
      <c r="T53" s="31">
        <f>'Working counts'!T54/'Working counts'!T$21</f>
        <v>0.033032282528137336</v>
      </c>
      <c r="U53" s="31">
        <f>'Working counts'!U54/'Working counts'!U$21</f>
        <v>0.03282968322085811</v>
      </c>
      <c r="V53" s="31">
        <f>'Working counts'!V54/'Working counts'!V$21</f>
        <v>0.03548435270301663</v>
      </c>
      <c r="Y53" t="s">
        <v>333</v>
      </c>
      <c r="Z53" s="59">
        <f t="shared" si="3"/>
        <v>0.0005175830206426493</v>
      </c>
      <c r="AM53" s="9"/>
    </row>
    <row r="54" spans="1:39" ht="12.75">
      <c r="A54" s="5" t="s">
        <v>8</v>
      </c>
      <c r="L54" s="31">
        <f>'Working counts'!L55/'Working counts'!L$21</f>
        <v>0.0382846334329037</v>
      </c>
      <c r="M54" s="31">
        <f>'Working counts'!M55/'Working counts'!M$21</f>
        <v>0.038851875970545506</v>
      </c>
      <c r="N54" s="31">
        <f>'Working counts'!N55/'Working counts'!N$21</f>
        <v>0.03851916715314264</v>
      </c>
      <c r="O54" s="31">
        <f>'Working counts'!O55/'Working counts'!O$21</f>
        <v>0.03902261839315165</v>
      </c>
      <c r="P54" s="31">
        <f>'Working counts'!P55/'Working counts'!P$21</f>
        <v>0.03843627441510017</v>
      </c>
      <c r="Q54" s="31">
        <f>'Working counts'!Q55/'Working counts'!Q$21</f>
        <v>0.03839177466800748</v>
      </c>
      <c r="R54" s="31">
        <f>'Working counts'!R55/'Working counts'!R$21</f>
        <v>0.03790605452830362</v>
      </c>
      <c r="S54" s="31">
        <f>'Working counts'!S55/'Working counts'!S$21</f>
        <v>0.03395611441598689</v>
      </c>
      <c r="T54" s="31">
        <f>'Working counts'!T55/'Working counts'!T$21</f>
        <v>0.03442837691101191</v>
      </c>
      <c r="U54" s="31">
        <f>'Working counts'!U55/'Working counts'!U$21</f>
        <v>0.03549154942795472</v>
      </c>
      <c r="V54" s="31">
        <f>'Working counts'!V55/'Working counts'!V$21</f>
        <v>0.03792353897720108</v>
      </c>
      <c r="Y54" t="s">
        <v>333</v>
      </c>
      <c r="Z54" s="59">
        <f t="shared" si="3"/>
        <v>-0.0003610944557026208</v>
      </c>
      <c r="AM54" s="9"/>
    </row>
    <row r="55" spans="1:39" ht="12.75">
      <c r="A55" s="13" t="s">
        <v>138</v>
      </c>
      <c r="B55" s="61">
        <f>'Working counts'!B56/'Working counts'!B$21</f>
        <v>0.1472779674073287</v>
      </c>
      <c r="C55" s="61">
        <f>'Working counts'!C56/'Working counts'!C$21</f>
        <v>0.15076562211738662</v>
      </c>
      <c r="D55" s="61">
        <f>'Working counts'!D56/'Working counts'!D$21</f>
        <v>0.1520508555439506</v>
      </c>
      <c r="E55" s="61">
        <f>'Working counts'!E56/'Working counts'!E$21</f>
        <v>0.14988148671138232</v>
      </c>
      <c r="F55" s="61">
        <f>'Working counts'!F56/'Working counts'!F$21</f>
        <v>0.15202685960652162</v>
      </c>
      <c r="G55" s="61">
        <f>'Working counts'!G56/'Working counts'!G$21</f>
        <v>0.15555394589113034</v>
      </c>
      <c r="H55" s="61">
        <f>'Working counts'!H56/'Working counts'!H$21</f>
        <v>0.15262573002624547</v>
      </c>
      <c r="I55" s="61">
        <f>'Working counts'!I56/'Working counts'!I$21</f>
        <v>0.1532479308100065</v>
      </c>
      <c r="J55" s="61">
        <f>'Working counts'!J56/'Working counts'!J$21</f>
        <v>0.1589108358442138</v>
      </c>
      <c r="K55" s="61">
        <f>'Working counts'!K56/'Working counts'!K$21</f>
        <v>0.1616580310880829</v>
      </c>
      <c r="L55" s="61">
        <f>'Working counts'!L56/'Working counts'!L$21</f>
        <v>0.17165035297522455</v>
      </c>
      <c r="M55" s="61">
        <f>'Working counts'!M56/'Working counts'!M$21</f>
        <v>0.17476331212743576</v>
      </c>
      <c r="N55" s="61">
        <f>'Working counts'!N56/'Working counts'!N$21</f>
        <v>0.17434325744308232</v>
      </c>
      <c r="O55" s="61">
        <f>'Working counts'!O56/'Working counts'!O$21</f>
        <v>0.17313280452367863</v>
      </c>
      <c r="P55" s="61">
        <f>'Working counts'!P56/'Working counts'!P$21</f>
        <v>0.17452328973551515</v>
      </c>
      <c r="Q55" s="61">
        <f>'Working counts'!Q56/'Working counts'!Q$21</f>
        <v>0.17295564974671768</v>
      </c>
      <c r="R55" s="61">
        <f>'Working counts'!R56/'Working counts'!R$21</f>
        <v>0.1692905092910588</v>
      </c>
      <c r="S55" s="61">
        <f>'Working counts'!S56/'Working counts'!S$21</f>
        <v>0.16277205856160723</v>
      </c>
      <c r="T55" s="61">
        <f>'Working counts'!T56/'Working counts'!T$21</f>
        <v>0.16159361588445165</v>
      </c>
      <c r="U55" s="61">
        <f>'Working counts'!U56/'Working counts'!U$21</f>
        <v>0.16466884507426777</v>
      </c>
      <c r="V55" s="61">
        <f>'Working counts'!V56/'Working counts'!V$21</f>
        <v>0.1692330667374639</v>
      </c>
      <c r="W55" t="s">
        <v>333</v>
      </c>
      <c r="X55" s="59">
        <f>V55-B55</f>
        <v>0.021955099330135203</v>
      </c>
      <c r="Y55" t="s">
        <v>333</v>
      </c>
      <c r="Z55" s="59">
        <f t="shared" si="3"/>
        <v>-0.0024172862377606352</v>
      </c>
      <c r="AM55" s="9"/>
    </row>
    <row r="56" spans="1:39" ht="12.75">
      <c r="A56" s="2" t="s">
        <v>9</v>
      </c>
      <c r="B56" s="61">
        <f>'Working counts'!B57/'Working counts'!B$21</f>
        <v>0.04353658374616498</v>
      </c>
      <c r="C56" s="61">
        <f>'Working counts'!C57/'Working counts'!C$21</f>
        <v>0.04895501146456527</v>
      </c>
      <c r="D56" s="61">
        <f>'Working counts'!D57/'Working counts'!D$21</f>
        <v>0.04309311051796836</v>
      </c>
      <c r="E56" s="61">
        <f>'Working counts'!E57/'Working counts'!E$21</f>
        <v>0.045728478491098894</v>
      </c>
      <c r="F56" s="61">
        <f>'Working counts'!F57/'Working counts'!F$21</f>
        <v>0.04575301055552802</v>
      </c>
      <c r="G56" s="61">
        <f>'Working counts'!G57/'Working counts'!G$21</f>
        <v>0.044318085787065545</v>
      </c>
      <c r="H56" s="61">
        <f>'Working counts'!H57/'Working counts'!H$21</f>
        <v>0.042678457427943156</v>
      </c>
      <c r="I56" s="61">
        <f>'Working counts'!I57/'Working counts'!I$21</f>
        <v>0.043824979075606806</v>
      </c>
      <c r="J56" s="61">
        <f>'Working counts'!J57/'Working counts'!J$21</f>
        <v>0.04319830376074099</v>
      </c>
      <c r="K56" s="61">
        <f>'Working counts'!K57/'Working counts'!K$21</f>
        <v>0.043621488955549494</v>
      </c>
      <c r="L56" s="61">
        <f>'Working counts'!L57/'Working counts'!L$21</f>
        <v>0.055773186286163165</v>
      </c>
      <c r="M56" s="61">
        <f>'Working counts'!M57/'Working counts'!M$21</f>
        <v>0.06095276261083003</v>
      </c>
      <c r="N56" s="61">
        <f>'Working counts'!N57/'Working counts'!N$21</f>
        <v>0.060595446584938706</v>
      </c>
      <c r="O56" s="61">
        <f>'Working counts'!O57/'Working counts'!O$21</f>
        <v>0.06222021518887929</v>
      </c>
      <c r="P56" s="61">
        <f>'Working counts'!P57/'Working counts'!P$21</f>
        <v>0.06190954579702865</v>
      </c>
      <c r="Q56" s="61">
        <f>'Working counts'!Q57/'Working counts'!Q$21</f>
        <v>0.06471622040731934</v>
      </c>
      <c r="R56" s="61">
        <f>'Working counts'!R57/'Working counts'!R$21</f>
        <v>0.06934637470121163</v>
      </c>
      <c r="S56" s="61">
        <f>'Working counts'!S57/'Working counts'!S$21</f>
        <v>0.06931927474797848</v>
      </c>
      <c r="T56" s="61">
        <f>'Working counts'!T57/'Working counts'!T$21</f>
        <v>0.07108878126131095</v>
      </c>
      <c r="U56" s="61">
        <f>'Working counts'!U57/'Working counts'!U$21</f>
        <v>0.06946447005827099</v>
      </c>
      <c r="V56" s="61">
        <f>'Working counts'!V57/'Working counts'!V$21</f>
        <v>0.06625626389672452</v>
      </c>
      <c r="W56" t="s">
        <v>333</v>
      </c>
      <c r="X56" s="59">
        <f>V56-B56</f>
        <v>0.022719680150559543</v>
      </c>
      <c r="Y56" t="s">
        <v>333</v>
      </c>
      <c r="Z56" s="59">
        <f t="shared" si="3"/>
        <v>0.010483077610561359</v>
      </c>
      <c r="AM56" s="9"/>
    </row>
    <row r="57" spans="1:39" ht="12.75">
      <c r="A57" s="3" t="s">
        <v>398</v>
      </c>
      <c r="B57" s="61">
        <f>+B48+B49</f>
        <v>0.6811655798015751</v>
      </c>
      <c r="C57" s="61">
        <f aca="true" t="shared" si="4" ref="C57:V57">+C48+C49</f>
        <v>0.6758031784518884</v>
      </c>
      <c r="D57" s="61">
        <f t="shared" si="4"/>
        <v>0.678477944115637</v>
      </c>
      <c r="E57" s="61">
        <f t="shared" si="4"/>
        <v>0.6759165868172878</v>
      </c>
      <c r="F57" s="61">
        <f t="shared" si="4"/>
        <v>0.6731379156548888</v>
      </c>
      <c r="G57" s="61">
        <f t="shared" si="4"/>
        <v>0.6703004841065758</v>
      </c>
      <c r="H57" s="61">
        <f t="shared" si="4"/>
        <v>0.677180620906533</v>
      </c>
      <c r="I57" s="61">
        <f t="shared" si="4"/>
        <v>0.6771947363526457</v>
      </c>
      <c r="J57" s="61">
        <f t="shared" si="4"/>
        <v>0.6747349626157795</v>
      </c>
      <c r="K57" s="61">
        <f t="shared" si="4"/>
        <v>0.6706517589310064</v>
      </c>
      <c r="L57" s="61">
        <f t="shared" si="4"/>
        <v>0.6534847905404707</v>
      </c>
      <c r="M57" s="61">
        <f t="shared" si="4"/>
        <v>0.6557731803837099</v>
      </c>
      <c r="N57" s="61">
        <f t="shared" si="4"/>
        <v>0.6564409418174743</v>
      </c>
      <c r="O57" s="61">
        <f t="shared" si="4"/>
        <v>0.6586330793999843</v>
      </c>
      <c r="P57" s="61">
        <f t="shared" si="4"/>
        <v>0.661115511678677</v>
      </c>
      <c r="Q57" s="61">
        <f t="shared" si="4"/>
        <v>0.6629230378842702</v>
      </c>
      <c r="R57" s="61">
        <f t="shared" si="4"/>
        <v>0.6676374426463719</v>
      </c>
      <c r="S57" s="61">
        <f t="shared" si="4"/>
        <v>0.6806094824208314</v>
      </c>
      <c r="T57" s="61">
        <f t="shared" si="4"/>
        <v>0.6876023371654113</v>
      </c>
      <c r="U57" s="61">
        <f t="shared" si="4"/>
        <v>0.6817192925578658</v>
      </c>
      <c r="V57" s="61">
        <f t="shared" si="4"/>
        <v>0.6825158464142302</v>
      </c>
      <c r="W57" t="s">
        <v>333</v>
      </c>
      <c r="X57" s="59">
        <f>V57-B57</f>
        <v>0.0013502666126551377</v>
      </c>
      <c r="Y57" t="s">
        <v>333</v>
      </c>
      <c r="Z57" s="59">
        <f>V57-L57</f>
        <v>0.029031055873759537</v>
      </c>
      <c r="AM57" s="9"/>
    </row>
    <row r="58" spans="1:39" ht="12.75">
      <c r="A58" s="3" t="s">
        <v>399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>
        <f>L51/SUM(L51:L54)</f>
        <v>0.30475100861082677</v>
      </c>
      <c r="M58" s="61">
        <f aca="true" t="shared" si="5" ref="M58:V58">M51/SUM(M51:M54)</f>
        <v>0.303542765420775</v>
      </c>
      <c r="N58" s="61">
        <f t="shared" si="5"/>
        <v>0.30693677102516886</v>
      </c>
      <c r="O58" s="61">
        <f t="shared" si="5"/>
        <v>0.30120208664096165</v>
      </c>
      <c r="P58" s="61">
        <f t="shared" si="5"/>
        <v>0.3013782033541817</v>
      </c>
      <c r="Q58" s="61">
        <f t="shared" si="5"/>
        <v>0.2984296038689344</v>
      </c>
      <c r="R58" s="61">
        <f t="shared" si="5"/>
        <v>0.30181228022721124</v>
      </c>
      <c r="S58" s="61">
        <f t="shared" si="5"/>
        <v>0.302713644818908</v>
      </c>
      <c r="T58" s="61">
        <f t="shared" si="5"/>
        <v>0.2996640179190443</v>
      </c>
      <c r="U58" s="61">
        <f t="shared" si="5"/>
        <v>0.30765245324076473</v>
      </c>
      <c r="V58" s="61">
        <f t="shared" si="5"/>
        <v>0.2915972154132758</v>
      </c>
      <c r="X58" s="59"/>
      <c r="Z58" s="59"/>
      <c r="AM58" s="9"/>
    </row>
    <row r="59" spans="1:39" ht="12.75">
      <c r="A59" s="3" t="s">
        <v>400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>
        <f>SUM(L52:L54)/SUM(L51:L54)</f>
        <v>0.6952489913891733</v>
      </c>
      <c r="M59" s="61">
        <f aca="true" t="shared" si="6" ref="M59:V59">SUM(M52:M54)/SUM(M51:M54)</f>
        <v>0.696457234579225</v>
      </c>
      <c r="N59" s="61">
        <f t="shared" si="6"/>
        <v>0.6930632289748312</v>
      </c>
      <c r="O59" s="61">
        <f t="shared" si="6"/>
        <v>0.6987979133590383</v>
      </c>
      <c r="P59" s="61">
        <f t="shared" si="6"/>
        <v>0.6986217966458184</v>
      </c>
      <c r="Q59" s="61">
        <f t="shared" si="6"/>
        <v>0.7015703961310656</v>
      </c>
      <c r="R59" s="61">
        <f t="shared" si="6"/>
        <v>0.6981877197727887</v>
      </c>
      <c r="S59" s="61">
        <f t="shared" si="6"/>
        <v>0.697286355181092</v>
      </c>
      <c r="T59" s="61">
        <f t="shared" si="6"/>
        <v>0.7003359820809557</v>
      </c>
      <c r="U59" s="61">
        <f t="shared" si="6"/>
        <v>0.6923475467592354</v>
      </c>
      <c r="V59" s="61">
        <f t="shared" si="6"/>
        <v>0.7084027845867242</v>
      </c>
      <c r="X59" s="59"/>
      <c r="Z59" s="59"/>
      <c r="AM59" s="9"/>
    </row>
    <row r="60" spans="1:22" ht="12.75">
      <c r="A60" s="2"/>
      <c r="R60" s="10"/>
      <c r="S60" s="10"/>
      <c r="T60" s="10"/>
      <c r="U60" s="10"/>
      <c r="V60" s="10"/>
    </row>
    <row r="61" spans="1:22" ht="12.75">
      <c r="A61" s="2" t="s">
        <v>345</v>
      </c>
      <c r="R61" s="10"/>
      <c r="S61" s="10"/>
      <c r="T61" s="10"/>
      <c r="U61" s="10"/>
      <c r="V61" s="10"/>
    </row>
    <row r="62" spans="1:40" ht="12.75">
      <c r="A62" s="3" t="s">
        <v>77</v>
      </c>
      <c r="B62" s="87" t="s">
        <v>363</v>
      </c>
      <c r="C62" s="87" t="s">
        <v>363</v>
      </c>
      <c r="D62" s="87" t="s">
        <v>363</v>
      </c>
      <c r="E62" s="87" t="s">
        <v>363</v>
      </c>
      <c r="F62" s="87" t="s">
        <v>363</v>
      </c>
      <c r="G62" s="87" t="s">
        <v>363</v>
      </c>
      <c r="H62" s="87" t="s">
        <v>363</v>
      </c>
      <c r="I62" s="87" t="s">
        <v>363</v>
      </c>
      <c r="J62" s="87" t="s">
        <v>363</v>
      </c>
      <c r="K62" s="87" t="s">
        <v>363</v>
      </c>
      <c r="L62" s="87" t="s">
        <v>363</v>
      </c>
      <c r="M62" s="87" t="s">
        <v>363</v>
      </c>
      <c r="N62" s="87" t="s">
        <v>363</v>
      </c>
      <c r="O62" s="87" t="s">
        <v>363</v>
      </c>
      <c r="P62" s="87" t="s">
        <v>363</v>
      </c>
      <c r="Q62" s="87" t="s">
        <v>363</v>
      </c>
      <c r="R62" s="87" t="s">
        <v>363</v>
      </c>
      <c r="S62" s="87" t="s">
        <v>363</v>
      </c>
      <c r="T62" s="87" t="s">
        <v>363</v>
      </c>
      <c r="U62" s="87" t="s">
        <v>363</v>
      </c>
      <c r="V62" s="31">
        <f>'Working counts'!V60/'Working counts'!V$21</f>
        <v>0.007657717452626688</v>
      </c>
      <c r="AM62" s="9"/>
      <c r="AN62" s="9"/>
    </row>
    <row r="63" spans="1:40" ht="12.75">
      <c r="A63" s="2" t="s">
        <v>10</v>
      </c>
      <c r="B63" s="87" t="s">
        <v>363</v>
      </c>
      <c r="C63" s="87" t="s">
        <v>363</v>
      </c>
      <c r="D63" s="87" t="s">
        <v>363</v>
      </c>
      <c r="E63" s="87" t="s">
        <v>363</v>
      </c>
      <c r="F63" s="87" t="s">
        <v>363</v>
      </c>
      <c r="G63" s="87" t="s">
        <v>363</v>
      </c>
      <c r="H63" s="87" t="s">
        <v>363</v>
      </c>
      <c r="I63" s="87" t="s">
        <v>363</v>
      </c>
      <c r="J63" s="87" t="s">
        <v>363</v>
      </c>
      <c r="K63" s="87" t="s">
        <v>363</v>
      </c>
      <c r="L63" s="87" t="s">
        <v>363</v>
      </c>
      <c r="M63" s="87" t="s">
        <v>363</v>
      </c>
      <c r="N63" s="87" t="s">
        <v>363</v>
      </c>
      <c r="O63" s="87" t="s">
        <v>363</v>
      </c>
      <c r="P63" s="87" t="s">
        <v>363</v>
      </c>
      <c r="Q63" s="87" t="s">
        <v>363</v>
      </c>
      <c r="R63" s="87" t="s">
        <v>363</v>
      </c>
      <c r="S63" s="87" t="s">
        <v>363</v>
      </c>
      <c r="T63" s="31">
        <f>'Working counts'!T61/'Working counts'!T$21</f>
        <v>0.026241403678105447</v>
      </c>
      <c r="U63" s="31">
        <f>'Working counts'!U61/'Working counts'!U$21</f>
        <v>0.051496873160368904</v>
      </c>
      <c r="V63" s="31">
        <f>'Working counts'!V61/'Working counts'!V$21</f>
        <v>0.07378953307005609</v>
      </c>
      <c r="AM63" s="9"/>
      <c r="AN63" s="9"/>
    </row>
    <row r="64" spans="1:40" ht="12.75">
      <c r="A64" s="2" t="s">
        <v>11</v>
      </c>
      <c r="B64" s="87" t="s">
        <v>363</v>
      </c>
      <c r="C64" s="87" t="s">
        <v>363</v>
      </c>
      <c r="D64" s="87" t="s">
        <v>363</v>
      </c>
      <c r="E64" s="87" t="s">
        <v>363</v>
      </c>
      <c r="F64" s="87" t="s">
        <v>363</v>
      </c>
      <c r="G64" s="87" t="s">
        <v>363</v>
      </c>
      <c r="H64" s="87" t="s">
        <v>363</v>
      </c>
      <c r="I64" s="87" t="s">
        <v>363</v>
      </c>
      <c r="J64" s="87" t="s">
        <v>363</v>
      </c>
      <c r="K64" s="87" t="s">
        <v>363</v>
      </c>
      <c r="L64" s="87" t="s">
        <v>363</v>
      </c>
      <c r="M64" s="87" t="s">
        <v>363</v>
      </c>
      <c r="N64" s="87" t="s">
        <v>363</v>
      </c>
      <c r="O64" s="87" t="s">
        <v>363</v>
      </c>
      <c r="P64" s="87" t="s">
        <v>363</v>
      </c>
      <c r="Q64" s="31">
        <f>'Working counts'!Q62/'Working counts'!Q$21</f>
        <v>0.008994107309004445</v>
      </c>
      <c r="R64" s="31">
        <f>'Working counts'!R62/'Working counts'!R$21</f>
        <v>0.04137703656894799</v>
      </c>
      <c r="S64" s="31">
        <f>'Working counts'!S62/'Working counts'!S$21</f>
        <v>0.07293484843087664</v>
      </c>
      <c r="T64" s="31">
        <f>'Working counts'!T62/'Working counts'!T$21</f>
        <v>0.07484617108188697</v>
      </c>
      <c r="U64" s="31">
        <f>'Working counts'!U62/'Working counts'!U$21</f>
        <v>0.07357671208333688</v>
      </c>
      <c r="V64" s="31">
        <f>'Working counts'!V62/'Working counts'!V$21</f>
        <v>0.0711180433411874</v>
      </c>
      <c r="AM64" s="9"/>
      <c r="AN64" s="9"/>
    </row>
    <row r="65" spans="1:40" ht="12.75">
      <c r="A65" s="2" t="s">
        <v>12</v>
      </c>
      <c r="B65" s="87" t="s">
        <v>363</v>
      </c>
      <c r="C65" s="87" t="s">
        <v>363</v>
      </c>
      <c r="D65" s="87" t="s">
        <v>363</v>
      </c>
      <c r="E65" s="87" t="s">
        <v>363</v>
      </c>
      <c r="F65" s="87" t="s">
        <v>363</v>
      </c>
      <c r="G65" s="87" t="s">
        <v>363</v>
      </c>
      <c r="H65" s="87" t="s">
        <v>363</v>
      </c>
      <c r="I65" s="87" t="s">
        <v>363</v>
      </c>
      <c r="J65" s="87" t="s">
        <v>363</v>
      </c>
      <c r="K65" s="87" t="s">
        <v>363</v>
      </c>
      <c r="L65" s="87" t="s">
        <v>363</v>
      </c>
      <c r="M65" s="87" t="s">
        <v>363</v>
      </c>
      <c r="N65" s="31">
        <f>'Working counts'!N63/'Working counts'!N$21</f>
        <v>2.918855808523059E-05</v>
      </c>
      <c r="O65" s="31">
        <f>'Working counts'!O63/'Working counts'!O$21</f>
        <v>0.02303070761014686</v>
      </c>
      <c r="P65" s="31">
        <f>'Working counts'!P63/'Working counts'!P$21</f>
        <v>0.048627344912192574</v>
      </c>
      <c r="Q65" s="31">
        <f>'Working counts'!Q63/'Working counts'!Q$21</f>
        <v>0.07003561929644841</v>
      </c>
      <c r="R65" s="31">
        <f>'Working counts'!R63/'Working counts'!R$21</f>
        <v>0.0643825956351714</v>
      </c>
      <c r="S65" s="31">
        <f>'Working counts'!S63/'Working counts'!S$21</f>
        <v>0.06256011113881665</v>
      </c>
      <c r="T65" s="31">
        <f>'Working counts'!T63/'Working counts'!T$21</f>
        <v>0.06059221979006877</v>
      </c>
      <c r="U65" s="31">
        <f>'Working counts'!U63/'Working counts'!U$21</f>
        <v>0.05910708039347843</v>
      </c>
      <c r="V65" s="31">
        <f>'Working counts'!V63/'Working counts'!V$21</f>
        <v>0.05762784986559586</v>
      </c>
      <c r="AM65" s="9"/>
      <c r="AN65" s="9"/>
    </row>
    <row r="66" spans="1:40" ht="12.75">
      <c r="A66" s="2" t="s">
        <v>13</v>
      </c>
      <c r="B66" s="87" t="s">
        <v>363</v>
      </c>
      <c r="C66" s="87" t="s">
        <v>363</v>
      </c>
      <c r="D66" s="87" t="s">
        <v>363</v>
      </c>
      <c r="E66" s="87" t="s">
        <v>363</v>
      </c>
      <c r="F66" s="87" t="s">
        <v>363</v>
      </c>
      <c r="G66" s="87" t="s">
        <v>363</v>
      </c>
      <c r="H66" s="87" t="s">
        <v>363</v>
      </c>
      <c r="I66" s="87" t="s">
        <v>363</v>
      </c>
      <c r="J66" s="87" t="s">
        <v>363</v>
      </c>
      <c r="K66" s="87" t="s">
        <v>363</v>
      </c>
      <c r="L66" s="31">
        <f>'Working counts'!L64/'Working counts'!L$21</f>
        <v>0.015380003927689175</v>
      </c>
      <c r="M66" s="31">
        <f>'Working counts'!M64/'Working counts'!M$21</f>
        <v>0.052557230877122676</v>
      </c>
      <c r="N66" s="31">
        <f>'Working counts'!N64/'Working counts'!N$21</f>
        <v>0.08650515664526172</v>
      </c>
      <c r="O66" s="31">
        <f>'Working counts'!O64/'Working counts'!O$21</f>
        <v>0.08633079399984293</v>
      </c>
      <c r="P66" s="31">
        <f>'Working counts'!P64/'Working counts'!P$21</f>
        <v>0.08417534437124476</v>
      </c>
      <c r="Q66" s="31">
        <f>'Working counts'!Q64/'Working counts'!Q$21</f>
        <v>0.08257285978778794</v>
      </c>
      <c r="R66" s="31">
        <f>'Working counts'!R64/'Working counts'!R$21</f>
        <v>0.07971352950334734</v>
      </c>
      <c r="S66" s="31">
        <f>'Working counts'!S64/'Working counts'!S$21</f>
        <v>0.07730737719516974</v>
      </c>
      <c r="T66" s="31">
        <f>'Working counts'!T64/'Working counts'!T$21</f>
        <v>0.07478584601596029</v>
      </c>
      <c r="U66" s="31">
        <f>'Working counts'!U64/'Working counts'!U$21</f>
        <v>0.07360230695071282</v>
      </c>
      <c r="V66" s="31">
        <f>'Working counts'!V64/'Working counts'!V$21</f>
        <v>0.07166561577008596</v>
      </c>
      <c r="AM66" s="9"/>
      <c r="AN66" s="9"/>
    </row>
    <row r="67" spans="1:40" ht="12.75">
      <c r="A67" s="2" t="s">
        <v>14</v>
      </c>
      <c r="B67" s="87" t="s">
        <v>363</v>
      </c>
      <c r="C67" s="87" t="s">
        <v>363</v>
      </c>
      <c r="D67" s="87" t="s">
        <v>363</v>
      </c>
      <c r="E67" s="87" t="s">
        <v>363</v>
      </c>
      <c r="F67" s="87" t="s">
        <v>363</v>
      </c>
      <c r="G67" s="87" t="s">
        <v>363</v>
      </c>
      <c r="H67" s="87" t="s">
        <v>363</v>
      </c>
      <c r="I67" s="14" t="s">
        <v>242</v>
      </c>
      <c r="J67" s="14" t="s">
        <v>242</v>
      </c>
      <c r="K67" s="14" t="s">
        <v>242</v>
      </c>
      <c r="L67" s="31">
        <f>'Working counts'!L65/'Working counts'!L$21</f>
        <v>0.08446598931255103</v>
      </c>
      <c r="M67" s="31">
        <f>'Working counts'!M65/'Working counts'!M$21</f>
        <v>0.08101988679056255</v>
      </c>
      <c r="N67" s="31">
        <f>'Working counts'!N65/'Working counts'!N$21</f>
        <v>0.07767075306479859</v>
      </c>
      <c r="O67" s="31">
        <f>'Working counts'!O65/'Working counts'!O$21</f>
        <v>0.0791349249980366</v>
      </c>
      <c r="P67" s="31">
        <f>'Working counts'!P65/'Working counts'!P$21</f>
        <v>0.07677595100558335</v>
      </c>
      <c r="Q67" s="31">
        <f>'Working counts'!Q65/'Working counts'!Q$21</f>
        <v>0.07518585002302566</v>
      </c>
      <c r="R67" s="31">
        <f>'Working counts'!R65/'Working counts'!R$21</f>
        <v>0.06901667719867022</v>
      </c>
      <c r="S67" s="31">
        <f>'Working counts'!S65/'Working counts'!S$21</f>
        <v>0.06603319915933459</v>
      </c>
      <c r="T67" s="31">
        <f>'Working counts'!T65/'Working counts'!T$21</f>
        <v>0.06434960961064479</v>
      </c>
      <c r="U67" s="31">
        <f>'Working counts'!U65/'Working counts'!U$21</f>
        <v>0.0628353994079054</v>
      </c>
      <c r="V67" s="31">
        <f>'Working counts'!V65/'Working counts'!V$21</f>
        <v>0.06007533269173332</v>
      </c>
      <c r="AM67" s="9"/>
      <c r="AN67" s="9"/>
    </row>
    <row r="68" spans="1:40" ht="12.75">
      <c r="A68" s="2" t="s">
        <v>15</v>
      </c>
      <c r="B68" s="87" t="s">
        <v>363</v>
      </c>
      <c r="C68" s="87" t="s">
        <v>363</v>
      </c>
      <c r="D68" s="14" t="s">
        <v>242</v>
      </c>
      <c r="E68" s="14" t="s">
        <v>242</v>
      </c>
      <c r="F68" s="14" t="s">
        <v>242</v>
      </c>
      <c r="G68" s="14" t="s">
        <v>242</v>
      </c>
      <c r="H68" s="14" t="s">
        <v>242</v>
      </c>
      <c r="I68" s="14" t="s">
        <v>242</v>
      </c>
      <c r="J68" s="14" t="s">
        <v>242</v>
      </c>
      <c r="K68" s="14" t="s">
        <v>242</v>
      </c>
      <c r="L68" s="31">
        <f>'Working counts'!L66/'Working counts'!L$21</f>
        <v>0.14450795357057955</v>
      </c>
      <c r="M68" s="31">
        <f>'Working counts'!M66/'Working counts'!M$21</f>
        <v>0.12508140059109352</v>
      </c>
      <c r="N68" s="31">
        <f>'Working counts'!N66/'Working counts'!N$21</f>
        <v>0.12148277875072971</v>
      </c>
      <c r="O68" s="31">
        <f>'Working counts'!O66/'Working counts'!O$21</f>
        <v>0.11617450718605199</v>
      </c>
      <c r="P68" s="31">
        <f>'Working counts'!P66/'Working counts'!P$21</f>
        <v>0.11149320917292943</v>
      </c>
      <c r="Q68" s="31">
        <f>'Working counts'!Q66/'Working counts'!Q$21</f>
        <v>0.11270358918451548</v>
      </c>
      <c r="R68" s="31">
        <f>'Working counts'!R66/'Working counts'!R$21</f>
        <v>0.10385471330054674</v>
      </c>
      <c r="S68" s="31">
        <f>'Working counts'!S66/'Working counts'!S$21</f>
        <v>0.10177928970897303</v>
      </c>
      <c r="T68" s="31">
        <f>'Working counts'!T66/'Working counts'!T$21</f>
        <v>0.10107895689343147</v>
      </c>
      <c r="U68" s="31">
        <f>'Working counts'!U66/'Working counts'!U$21</f>
        <v>0.10175666106423459</v>
      </c>
      <c r="V68" s="31">
        <f>'Working counts'!V66/'Working counts'!V$21</f>
        <v>0.11566223077688913</v>
      </c>
      <c r="AM68" s="9"/>
      <c r="AN68" s="9"/>
    </row>
    <row r="69" spans="1:40" ht="12.75">
      <c r="A69" s="2" t="s">
        <v>16</v>
      </c>
      <c r="B69" s="31">
        <f>'Working counts'!B68/'Working counts'!B$21</f>
        <v>0.10597266678177254</v>
      </c>
      <c r="C69" s="31">
        <f>'Working counts'!C68/'Working counts'!C$21</f>
        <v>0.1302216482618665</v>
      </c>
      <c r="D69" s="14" t="s">
        <v>242</v>
      </c>
      <c r="E69" s="14" t="s">
        <v>242</v>
      </c>
      <c r="F69" s="14" t="s">
        <v>242</v>
      </c>
      <c r="G69" s="14" t="s">
        <v>242</v>
      </c>
      <c r="H69" s="14" t="s">
        <v>242</v>
      </c>
      <c r="I69" s="14" t="s">
        <v>242</v>
      </c>
      <c r="J69" s="14" t="s">
        <v>242</v>
      </c>
      <c r="K69" s="14" t="s">
        <v>242</v>
      </c>
      <c r="L69" s="31">
        <f>'Working counts'!L67/'Working counts'!L$21</f>
        <v>0.11907099814985168</v>
      </c>
      <c r="M69" s="31">
        <f>'Working counts'!M67/'Working counts'!M$21</f>
        <v>0.11613484947152232</v>
      </c>
      <c r="N69" s="31">
        <f>'Working counts'!N67/'Working counts'!N$21</f>
        <v>0.11087760264642926</v>
      </c>
      <c r="O69" s="31">
        <f>'Working counts'!O67/'Working counts'!O$21</f>
        <v>0.10871357888949973</v>
      </c>
      <c r="P69" s="31">
        <f>'Working counts'!P67/'Working counts'!P$21</f>
        <v>0.1069627711983926</v>
      </c>
      <c r="Q69" s="31">
        <f>'Working counts'!Q67/'Working counts'!Q$21</f>
        <v>0.1028166499064876</v>
      </c>
      <c r="R69" s="31">
        <f>'Working counts'!R67/'Working counts'!R$21</f>
        <v>0.10190400307717669</v>
      </c>
      <c r="S69" s="31">
        <f>'Working counts'!S67/'Working counts'!S$21</f>
        <v>0.09851102482812667</v>
      </c>
      <c r="T69" s="31">
        <f>'Working counts'!T67/'Working counts'!T$21</f>
        <v>0.0958651476240542</v>
      </c>
      <c r="U69" s="31">
        <f>'Working counts'!U67/'Working counts'!U$21</f>
        <v>0.09162109358336674</v>
      </c>
      <c r="V69" s="31">
        <f>'Working counts'!V67/'Working counts'!V$21</f>
        <v>0.08561211960309295</v>
      </c>
      <c r="AM69" s="9"/>
      <c r="AN69" s="9"/>
    </row>
    <row r="70" spans="1:40" ht="12.75">
      <c r="A70" s="2"/>
      <c r="AM70" s="9"/>
      <c r="AN70" s="9"/>
    </row>
    <row r="71" spans="1:40" ht="12.75">
      <c r="A71" s="17" t="s">
        <v>320</v>
      </c>
      <c r="B71" s="61">
        <f>'Working counts'!B68/'Working counts'!B$21</f>
        <v>0.10597266678177254</v>
      </c>
      <c r="C71" s="61">
        <f>'Working counts'!C68/'Working counts'!C$21</f>
        <v>0.1302216482618665</v>
      </c>
      <c r="D71" s="61">
        <f>'Working counts'!D68/'Working counts'!D$21</f>
        <v>0.14457209908062874</v>
      </c>
      <c r="E71" s="61">
        <f>'Working counts'!E68/'Working counts'!E$21</f>
        <v>0.15750920369156285</v>
      </c>
      <c r="F71" s="61">
        <f>'Working counts'!F68/'Working counts'!F$21</f>
        <v>0.1803731602160662</v>
      </c>
      <c r="G71" s="61">
        <f>'Working counts'!G68/'Working counts'!G$21</f>
        <v>0.1974696075235715</v>
      </c>
      <c r="H71" s="61">
        <f>'Working counts'!H68/'Working counts'!H$21</f>
        <v>0.2145272267278273</v>
      </c>
      <c r="I71" s="61">
        <f>'Working counts'!I68/'Working counts'!I$21</f>
        <v>0.2294127220310611</v>
      </c>
      <c r="J71" s="61">
        <f>'Working counts'!J68/'Working counts'!J$21</f>
        <v>0.2404307554960384</v>
      </c>
      <c r="K71" s="61">
        <f>'Working counts'!K68/'Working counts'!K$21</f>
        <v>0.25836923916007637</v>
      </c>
      <c r="L71" s="31">
        <f>SUM('Working counts'!L60:L67)/'Working counts'!L$21</f>
        <v>0.3634249449606714</v>
      </c>
      <c r="M71" s="31">
        <f>SUM('Working counts'!M60:M67)/'Working counts'!M$21</f>
        <v>0.37479336773030103</v>
      </c>
      <c r="N71" s="31">
        <f>SUM('Working counts'!N60:N67)/'Working counts'!N$21</f>
        <v>0.39656547966530453</v>
      </c>
      <c r="O71" s="31">
        <f>SUM('Working counts'!O60:O67)/'Working counts'!O$21</f>
        <v>0.4133845126835781</v>
      </c>
      <c r="P71" s="31">
        <f>SUM('Working counts'!P60:P67)/'Working counts'!P$21</f>
        <v>0.4280346206603427</v>
      </c>
      <c r="Q71" s="31">
        <f>SUM('Working counts'!Q60:Q67)/'Working counts'!Q$21</f>
        <v>0.45230867550726955</v>
      </c>
      <c r="R71" s="31">
        <f>SUM('Working counts'!R60:R67)/'Working counts'!R$21</f>
        <v>0.4602485552838604</v>
      </c>
      <c r="S71" s="31">
        <f>SUM('Working counts'!S60:S67)/'Working counts'!S$21</f>
        <v>0.47912585046129735</v>
      </c>
      <c r="T71" s="31">
        <f>SUM('Working counts'!T60:T67)/'Working counts'!T$21</f>
        <v>0.4977593546941519</v>
      </c>
      <c r="U71" s="31">
        <f>SUM('Working counts'!U60:U67)/'Working counts'!U$21</f>
        <v>0.5139961266434038</v>
      </c>
      <c r="V71" s="31">
        <f>SUM('Working counts'!V60:V67)/'Working counts'!V$21</f>
        <v>0.5432084425712674</v>
      </c>
      <c r="AM71" s="9"/>
      <c r="AN71" s="9"/>
    </row>
    <row r="72" spans="1:40" ht="12.75">
      <c r="A72" s="2" t="s">
        <v>17</v>
      </c>
      <c r="B72" s="61">
        <f>'Working counts'!B69/'Working counts'!B$21</f>
        <v>0.24024809743269626</v>
      </c>
      <c r="C72" s="61">
        <f>'Working counts'!C69/'Working counts'!C$21</f>
        <v>0.22614184434546555</v>
      </c>
      <c r="D72" s="61">
        <f>'Working counts'!D69/'Working counts'!D$21</f>
        <v>0.23069384807808854</v>
      </c>
      <c r="E72" s="61">
        <f>'Working counts'!E69/'Working counts'!E$21</f>
        <v>0.2228301981945635</v>
      </c>
      <c r="F72" s="61">
        <f>'Working counts'!F69/'Working counts'!F$21</f>
        <v>0.21621487685217305</v>
      </c>
      <c r="G72" s="61">
        <f>'Working counts'!G69/'Working counts'!G$21</f>
        <v>0.2112322383591081</v>
      </c>
      <c r="H72" s="61">
        <f>'Working counts'!H69/'Working counts'!H$21</f>
        <v>0.2079776795214338</v>
      </c>
      <c r="I72" s="61">
        <f>'Working counts'!I69/'Working counts'!I$21</f>
        <v>0.20487305868129824</v>
      </c>
      <c r="J72" s="61">
        <f>'Working counts'!J69/'Working counts'!J$21</f>
        <v>0.2007923222854592</v>
      </c>
      <c r="K72" s="61">
        <f>'Working counts'!K69/'Working counts'!K$21</f>
        <v>0.19791655304063266</v>
      </c>
      <c r="L72" s="61">
        <f>'Working counts'!L69/'Working counts'!L$21</f>
        <v>0.16563478692286226</v>
      </c>
      <c r="M72" s="61">
        <f>'Working counts'!M69/'Working counts'!M$21</f>
        <v>0.16326203476431397</v>
      </c>
      <c r="N72" s="61">
        <f>'Working counts'!N69/'Working counts'!N$21</f>
        <v>0.15855224751897257</v>
      </c>
      <c r="O72" s="61">
        <f>'Working counts'!O69/'Working counts'!O$21</f>
        <v>0.15405835231288778</v>
      </c>
      <c r="P72" s="61">
        <f>'Working counts'!P69/'Working counts'!P$21</f>
        <v>0.1500357411951083</v>
      </c>
      <c r="Q72" s="61">
        <f>'Working counts'!Q69/'Working counts'!Q$21</f>
        <v>0.14411247803163443</v>
      </c>
      <c r="R72" s="61">
        <f>'Working counts'!R69/'Working counts'!R$21</f>
        <v>0.1418065591486478</v>
      </c>
      <c r="S72" s="61">
        <f>'Working counts'!S69/'Working counts'!S$21</f>
        <v>0.13674170911552025</v>
      </c>
      <c r="T72" s="61">
        <f>'Working counts'!T69/'Working counts'!T$21</f>
        <v>0.13286164877023043</v>
      </c>
      <c r="U72" s="61">
        <f>'Working counts'!U69/'Working counts'!U$21</f>
        <v>0.1279914001245617</v>
      </c>
      <c r="V72" s="61">
        <f>'Working counts'!V69/'Working counts'!V$21</f>
        <v>0.1220090930209405</v>
      </c>
      <c r="AM72" s="9"/>
      <c r="AN72" s="9"/>
    </row>
    <row r="73" spans="1:40" ht="12.75">
      <c r="A73" s="2" t="s">
        <v>18</v>
      </c>
      <c r="B73" s="61">
        <f>'Working counts'!B70/'Working counts'!B$21</f>
        <v>0.17993704594052568</v>
      </c>
      <c r="C73" s="61">
        <f>'Working counts'!C70/'Working counts'!C$21</f>
        <v>0.17957198956329232</v>
      </c>
      <c r="D73" s="61">
        <f>'Working counts'!D70/'Working counts'!D$21</f>
        <v>0.17536394465720218</v>
      </c>
      <c r="E73" s="61">
        <f>'Working counts'!E70/'Working counts'!E$21</f>
        <v>0.17449190579454335</v>
      </c>
      <c r="F73" s="61">
        <f>'Working counts'!F70/'Working counts'!F$21</f>
        <v>0.17056097923583924</v>
      </c>
      <c r="G73" s="61">
        <f>'Working counts'!G70/'Working counts'!G$21</f>
        <v>0.16714352975263483</v>
      </c>
      <c r="H73" s="61">
        <f>'Working counts'!H70/'Working counts'!H$21</f>
        <v>0.16529922209349066</v>
      </c>
      <c r="I73" s="61">
        <f>'Working counts'!I70/'Working counts'!I$21</f>
        <v>0.16324514089091416</v>
      </c>
      <c r="J73" s="61">
        <f>'Working counts'!J70/'Working counts'!J$21</f>
        <v>0.16062939404084364</v>
      </c>
      <c r="K73" s="61">
        <f>'Working counts'!K70/'Working counts'!K$21</f>
        <v>0.156323970548132</v>
      </c>
      <c r="L73" s="61">
        <f>'Working counts'!L70/'Working counts'!L$21</f>
        <v>0.1401358153572647</v>
      </c>
      <c r="M73" s="61">
        <f>'Working counts'!M70/'Working counts'!M$21</f>
        <v>0.13907729299203528</v>
      </c>
      <c r="N73" s="61">
        <f>'Working counts'!N70/'Working counts'!N$21</f>
        <v>0.13489978595057403</v>
      </c>
      <c r="O73" s="61">
        <f>'Working counts'!O70/'Working counts'!O$21</f>
        <v>0.1317050184559805</v>
      </c>
      <c r="P73" s="61">
        <f>'Working counts'!P70/'Working counts'!P$21</f>
        <v>0.12776994262089217</v>
      </c>
      <c r="Q73" s="61">
        <f>'Working counts'!Q70/'Working counts'!Q$21</f>
        <v>0.12403785607548659</v>
      </c>
      <c r="R73" s="61">
        <f>'Working counts'!R70/'Working counts'!R$21</f>
        <v>0.12283063622459726</v>
      </c>
      <c r="S73" s="61">
        <f>'Working counts'!S70/'Working counts'!S$21</f>
        <v>0.1176664410643679</v>
      </c>
      <c r="T73" s="61">
        <f>'Working counts'!T70/'Working counts'!T$21</f>
        <v>0.11559144418207828</v>
      </c>
      <c r="U73" s="61">
        <f>'Working counts'!U70/'Working counts'!U$21</f>
        <v>0.1111926355034937</v>
      </c>
      <c r="V73" s="61">
        <f>'Working counts'!V70/'Working counts'!V$21</f>
        <v>0.10484352703016626</v>
      </c>
      <c r="AM73" s="9"/>
      <c r="AN73" s="9"/>
    </row>
    <row r="74" spans="1:40" ht="12.75">
      <c r="A74" s="2" t="s">
        <v>19</v>
      </c>
      <c r="B74" s="61">
        <f>'Working counts'!B71/'Working counts'!B$21</f>
        <v>0.10753987754505731</v>
      </c>
      <c r="C74" s="61">
        <f>'Working counts'!C71/'Working counts'!C$21</f>
        <v>0.10569802071528345</v>
      </c>
      <c r="D74" s="61">
        <f>'Working counts'!D71/'Working counts'!D$21</f>
        <v>0.10282000696298016</v>
      </c>
      <c r="E74" s="61">
        <f>'Working counts'!E71/'Working counts'!E$21</f>
        <v>0.10216097634777346</v>
      </c>
      <c r="F74" s="61">
        <f>'Working counts'!F71/'Working counts'!F$21</f>
        <v>0.09902621537241688</v>
      </c>
      <c r="G74" s="61">
        <f>'Working counts'!G71/'Working counts'!G$21</f>
        <v>0.09666437289486074</v>
      </c>
      <c r="H74" s="61">
        <f>'Working counts'!H71/'Working counts'!H$21</f>
        <v>0.09414087437637435</v>
      </c>
      <c r="I74" s="61">
        <f>'Working counts'!I71/'Working counts'!I$21</f>
        <v>0.09235794661954803</v>
      </c>
      <c r="J74" s="61">
        <f>'Working counts'!J71/'Working counts'!J$21</f>
        <v>0.09034705947996875</v>
      </c>
      <c r="K74" s="61">
        <f>'Working counts'!K71/'Working counts'!K$21</f>
        <v>0.08836651213526044</v>
      </c>
      <c r="L74" s="61">
        <f>'Working counts'!L71/'Working counts'!L$21</f>
        <v>0.08810426981157428</v>
      </c>
      <c r="M74" s="61">
        <f>'Working counts'!M71/'Working counts'!M$21</f>
        <v>0.08714121124079548</v>
      </c>
      <c r="N74" s="61">
        <f>'Working counts'!N71/'Working counts'!N$21</f>
        <v>0.08353765323992995</v>
      </c>
      <c r="O74" s="61">
        <f>'Working counts'!O71/'Working counts'!O$21</f>
        <v>0.08227636849132176</v>
      </c>
      <c r="P74" s="61">
        <f>'Working counts'!P71/'Working counts'!P$21</f>
        <v>0.07994435965302062</v>
      </c>
      <c r="Q74" s="61">
        <f>'Working counts'!Q71/'Working counts'!Q$21</f>
        <v>0.07680234579852072</v>
      </c>
      <c r="R74" s="61">
        <f>'Working counts'!R71/'Working counts'!R$21</f>
        <v>0.07468564258959072</v>
      </c>
      <c r="S74" s="61">
        <f>'Working counts'!S71/'Working counts'!S$21</f>
        <v>0.0723292843657607</v>
      </c>
      <c r="T74" s="61">
        <f>'Working counts'!T71/'Working counts'!T$21</f>
        <v>0.06927041141694962</v>
      </c>
      <c r="U74" s="61">
        <f>'Working counts'!U71/'Working counts'!U$21</f>
        <v>0.06752779176015902</v>
      </c>
      <c r="V74" s="61">
        <f>'Working counts'!V71/'Working counts'!V$21</f>
        <v>0.06326950519364152</v>
      </c>
      <c r="AM74" s="9"/>
      <c r="AN74" s="9"/>
    </row>
    <row r="75" spans="1:40" ht="12.75">
      <c r="A75" s="3" t="s">
        <v>139</v>
      </c>
      <c r="B75" s="61">
        <f>'Working counts'!B75/'Working counts'!B$21</f>
        <v>0.36631559374709466</v>
      </c>
      <c r="C75" s="61">
        <f>'Working counts'!C75/'Working counts'!C$21</f>
        <v>0.35835331945286353</v>
      </c>
      <c r="D75" s="61">
        <f>'Working counts'!D75/'Working counts'!D$21</f>
        <v>0.3465629956287958</v>
      </c>
      <c r="E75" s="61">
        <f>'Working counts'!E75/'Working counts'!E$21</f>
        <v>0.3430077159715568</v>
      </c>
      <c r="F75" s="61">
        <f>'Working counts'!F75/'Working counts'!F$21</f>
        <v>0.3338247683235046</v>
      </c>
      <c r="G75" s="61">
        <f>'Working counts'!G75/'Working counts'!G$21</f>
        <v>0.32749025146982486</v>
      </c>
      <c r="H75" s="61">
        <f>'Working counts'!H75/'Working counts'!H$21</f>
        <v>0.31806681956825006</v>
      </c>
      <c r="I75" s="61">
        <f>'Working counts'!I75/'Working counts'!I$21</f>
        <v>0.3101111317771785</v>
      </c>
      <c r="J75" s="61">
        <f>'Working counts'!J75/'Working counts'!J$21</f>
        <v>0.30780046869769</v>
      </c>
      <c r="K75" s="61">
        <f>'Working counts'!K75/'Working counts'!K$21</f>
        <v>0.29902372511589853</v>
      </c>
      <c r="L75" s="61">
        <f>'Working counts'!L75/'Working counts'!L$21</f>
        <v>0.24267951089933745</v>
      </c>
      <c r="M75" s="61">
        <f>'Working counts'!M75/'Working counts'!M$21</f>
        <v>0.23571607473826578</v>
      </c>
      <c r="N75" s="61">
        <f>'Working counts'!N75/'Working counts'!N$21</f>
        <v>0.22644483362521892</v>
      </c>
      <c r="O75" s="61">
        <f>'Working counts'!O75/'Working counts'!O$21</f>
        <v>0.21856593104531533</v>
      </c>
      <c r="P75" s="61">
        <f>'Working counts'!P75/'Working counts'!P$21</f>
        <v>0.2142056760881745</v>
      </c>
      <c r="Q75" s="61">
        <f>'Working counts'!Q75/'Working counts'!Q$21</f>
        <v>0.20272924635583583</v>
      </c>
      <c r="R75" s="61">
        <f>'Working counts'!R75/'Working counts'!R$21</f>
        <v>0.20041944848934437</v>
      </c>
      <c r="S75" s="61">
        <f>'Working counts'!S75/'Working counts'!S$21</f>
        <v>0.19413671499305382</v>
      </c>
      <c r="T75" s="61">
        <f>'Working counts'!T75/'Working counts'!T$21</f>
        <v>0.18451714093658975</v>
      </c>
      <c r="U75" s="61">
        <f>'Working counts'!U75/'Working counts'!U$21</f>
        <v>0.1792749827234645</v>
      </c>
      <c r="V75" s="61">
        <f>'Working counts'!V75/'Working counts'!V$21</f>
        <v>0.16666113563203133</v>
      </c>
      <c r="AM75" s="9"/>
      <c r="AN75" s="9"/>
    </row>
    <row r="76" spans="1:40" ht="12.75">
      <c r="A76" s="3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AM76" s="9"/>
      <c r="AN76" s="9"/>
    </row>
    <row r="77" spans="1:33" ht="12.75">
      <c r="A77" s="5" t="s">
        <v>20</v>
      </c>
      <c r="L77" s="31">
        <f>'Working counts'!L72/'Working counts'!L$21</f>
        <v>0.06914800152973158</v>
      </c>
      <c r="M77" s="31">
        <f>'Working counts'!M72/'Working counts'!M$21</f>
        <v>0.06843660772428993</v>
      </c>
      <c r="N77" s="31">
        <f>'Working counts'!N72/'Working counts'!N$21</f>
        <v>0.06613154310177077</v>
      </c>
      <c r="O77" s="31">
        <f>'Working counts'!O72/'Working counts'!O$21</f>
        <v>0.06458611481975968</v>
      </c>
      <c r="P77" s="31">
        <f>'Working counts'!P72/'Working counts'!P$21</f>
        <v>0.06303008056258573</v>
      </c>
      <c r="Q77" s="31">
        <f>'Working counts'!Q72/'Working counts'!Q$21</f>
        <v>0.05939682151819028</v>
      </c>
      <c r="R77" s="31">
        <f>'Working counts'!R72/'Working counts'!R$21</f>
        <v>0.05976683059959154</v>
      </c>
      <c r="S77" s="31">
        <f>'Working counts'!S72/'Working counts'!S$21</f>
        <v>0.05685177928970897</v>
      </c>
      <c r="T77" s="31">
        <f>'Working counts'!T72/'Working counts'!T$21</f>
        <v>0.05519743532291146</v>
      </c>
      <c r="U77" s="31">
        <f>'Working counts'!U72/'Working counts'!U$21</f>
        <v>0.05272542679441349</v>
      </c>
      <c r="V77" s="31">
        <f>'Working counts'!V72/'Working counts'!V$21</f>
        <v>0.04833571167822653</v>
      </c>
      <c r="AF77" s="9"/>
      <c r="AG77" s="9"/>
    </row>
    <row r="78" spans="1:33" ht="12.75">
      <c r="A78" s="5" t="s">
        <v>21</v>
      </c>
      <c r="L78" s="31">
        <f>'Working counts'!L73/'Working counts'!L$21</f>
        <v>0.06167505607293099</v>
      </c>
      <c r="M78" s="31">
        <f>'Working counts'!M73/'Working counts'!M$21</f>
        <v>0.060341632019235585</v>
      </c>
      <c r="N78" s="31">
        <f>'Working counts'!N73/'Working counts'!N$21</f>
        <v>0.056684179801517805</v>
      </c>
      <c r="O78" s="31">
        <f>'Working counts'!O73/'Working counts'!O$21</f>
        <v>0.0549850781434069</v>
      </c>
      <c r="P78" s="31">
        <f>'Working counts'!P73/'Working counts'!P$21</f>
        <v>0.05389192635381851</v>
      </c>
      <c r="Q78" s="31">
        <f>'Working counts'!Q73/'Working counts'!Q$21</f>
        <v>0.051304944409462136</v>
      </c>
      <c r="R78" s="31">
        <f>'Working counts'!R73/'Working counts'!R$21</f>
        <v>0.05034297698528267</v>
      </c>
      <c r="S78" s="31">
        <f>'Working counts'!S73/'Working counts'!S$21</f>
        <v>0.048863676842517724</v>
      </c>
      <c r="T78" s="31">
        <f>'Working counts'!T73/'Working counts'!T$21</f>
        <v>0.046398593564177255</v>
      </c>
      <c r="U78" s="31">
        <f>'Working counts'!U73/'Working counts'!U$21</f>
        <v>0.04615607750125841</v>
      </c>
      <c r="V78" s="31">
        <f>'Working counts'!V73/'Working counts'!V$21</f>
        <v>0.043025918428301196</v>
      </c>
      <c r="AF78" s="9"/>
      <c r="AG78" s="9"/>
    </row>
    <row r="79" spans="1:33" ht="12.75">
      <c r="A79" s="2" t="s">
        <v>22</v>
      </c>
      <c r="L79" s="31">
        <f>'Working counts'!L74/'Working counts'!L$21</f>
        <v>0.1118564532966749</v>
      </c>
      <c r="M79" s="31">
        <f>'Working counts'!M74/'Working counts'!M$21</f>
        <v>0.10693783499474027</v>
      </c>
      <c r="N79" s="31">
        <f>'Working counts'!N74/'Working counts'!N$21</f>
        <v>0.10362911072193033</v>
      </c>
      <c r="O79" s="31">
        <f>'Working counts'!O74/'Working counts'!O$21</f>
        <v>0.09899473808214874</v>
      </c>
      <c r="P79" s="31">
        <f>'Working counts'!P74/'Working counts'!P$21</f>
        <v>0.09728366917177025</v>
      </c>
      <c r="Q79" s="31">
        <f>'Working counts'!Q74/'Working counts'!Q$21</f>
        <v>0.09202748042818341</v>
      </c>
      <c r="R79" s="31">
        <f>'Working counts'!R74/'Working counts'!R$21</f>
        <v>0.09030964090447015</v>
      </c>
      <c r="S79" s="31">
        <f>'Working counts'!S74/'Working counts'!S$21</f>
        <v>0.08842125886082713</v>
      </c>
      <c r="T79" s="31">
        <f>'Working counts'!T74/'Working counts'!T$21</f>
        <v>0.08292111204950102</v>
      </c>
      <c r="U79" s="31">
        <f>'Working counts'!U74/'Working counts'!U$21</f>
        <v>0.08039347842779261</v>
      </c>
      <c r="V79" s="31">
        <f>'Working counts'!V74/'Working counts'!V$21</f>
        <v>0.0752995055255036</v>
      </c>
      <c r="AF79" s="9"/>
      <c r="AG79" s="9"/>
    </row>
    <row r="80" spans="1:40" ht="12.75">
      <c r="A80" s="3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AM80" s="9"/>
      <c r="AN80" s="9"/>
    </row>
    <row r="81" spans="1:40" ht="12.75">
      <c r="A81" s="3"/>
      <c r="B81" s="61">
        <f>SUM(B71:B75)</f>
        <v>1.0000132814471465</v>
      </c>
      <c r="C81" s="61">
        <f aca="true" t="shared" si="7" ref="C81:V81">SUM(C71:C75)</f>
        <v>0.9999868223387713</v>
      </c>
      <c r="D81" s="61">
        <f t="shared" si="7"/>
        <v>1.0000128944076954</v>
      </c>
      <c r="E81" s="61">
        <f t="shared" si="7"/>
        <v>1</v>
      </c>
      <c r="F81" s="61">
        <f t="shared" si="7"/>
        <v>0.9999999999999999</v>
      </c>
      <c r="G81" s="61">
        <f t="shared" si="7"/>
        <v>1</v>
      </c>
      <c r="H81" s="61">
        <f t="shared" si="7"/>
        <v>1.0000118222873762</v>
      </c>
      <c r="I81" s="61">
        <f t="shared" si="7"/>
        <v>1</v>
      </c>
      <c r="J81" s="61">
        <f t="shared" si="7"/>
        <v>1</v>
      </c>
      <c r="K81" s="61">
        <f t="shared" si="7"/>
        <v>1</v>
      </c>
      <c r="L81" s="61">
        <f t="shared" si="7"/>
        <v>0.9999793279517102</v>
      </c>
      <c r="M81" s="61">
        <f t="shared" si="7"/>
        <v>0.9999899814657116</v>
      </c>
      <c r="N81" s="61">
        <f t="shared" si="7"/>
        <v>1</v>
      </c>
      <c r="O81" s="61">
        <f t="shared" si="7"/>
        <v>0.9999901829890835</v>
      </c>
      <c r="P81" s="61">
        <f t="shared" si="7"/>
        <v>0.9999903402175383</v>
      </c>
      <c r="Q81" s="61">
        <f t="shared" si="7"/>
        <v>0.9999906017687472</v>
      </c>
      <c r="R81" s="61">
        <f t="shared" si="7"/>
        <v>0.9999908417360405</v>
      </c>
      <c r="S81" s="61">
        <f t="shared" si="7"/>
        <v>1</v>
      </c>
      <c r="T81" s="61">
        <f t="shared" si="7"/>
        <v>1</v>
      </c>
      <c r="U81" s="61">
        <f t="shared" si="7"/>
        <v>0.9999829367550827</v>
      </c>
      <c r="V81" s="61">
        <f t="shared" si="7"/>
        <v>0.9999917034480471</v>
      </c>
      <c r="AM81" s="9"/>
      <c r="AN81" s="9"/>
    </row>
    <row r="82" spans="1:40" ht="12.75">
      <c r="A82" s="3"/>
      <c r="B82" s="61">
        <f>B71-SUM(B62:B69)</f>
        <v>0</v>
      </c>
      <c r="C82" s="61">
        <f aca="true" t="shared" si="8" ref="C82:V82">C71-SUM(C62:C69)</f>
        <v>0</v>
      </c>
      <c r="D82" s="61">
        <f t="shared" si="8"/>
        <v>0.14457209908062874</v>
      </c>
      <c r="E82" s="61">
        <f t="shared" si="8"/>
        <v>0.15750920369156285</v>
      </c>
      <c r="F82" s="61">
        <f t="shared" si="8"/>
        <v>0.1803731602160662</v>
      </c>
      <c r="G82" s="61">
        <f t="shared" si="8"/>
        <v>0.1974696075235715</v>
      </c>
      <c r="H82" s="61">
        <f t="shared" si="8"/>
        <v>0.2145272267278273</v>
      </c>
      <c r="I82" s="61">
        <f t="shared" si="8"/>
        <v>0.2294127220310611</v>
      </c>
      <c r="J82" s="61">
        <f t="shared" si="8"/>
        <v>0.2404307554960384</v>
      </c>
      <c r="K82" s="61">
        <f t="shared" si="8"/>
        <v>0.25836923916007637</v>
      </c>
      <c r="L82" s="61">
        <f t="shared" si="8"/>
        <v>0</v>
      </c>
      <c r="M82" s="61">
        <f t="shared" si="8"/>
        <v>0</v>
      </c>
      <c r="N82" s="61">
        <f t="shared" si="8"/>
        <v>0</v>
      </c>
      <c r="O82" s="61">
        <f t="shared" si="8"/>
        <v>0</v>
      </c>
      <c r="P82" s="61">
        <f t="shared" si="8"/>
        <v>0</v>
      </c>
      <c r="Q82" s="61">
        <f t="shared" si="8"/>
        <v>0</v>
      </c>
      <c r="R82" s="61">
        <f t="shared" si="8"/>
        <v>0</v>
      </c>
      <c r="S82" s="61">
        <f t="shared" si="8"/>
        <v>0</v>
      </c>
      <c r="T82" s="61">
        <f t="shared" si="8"/>
        <v>0</v>
      </c>
      <c r="U82" s="61">
        <f t="shared" si="8"/>
        <v>0</v>
      </c>
      <c r="V82" s="61">
        <f t="shared" si="8"/>
        <v>0</v>
      </c>
      <c r="AM82" s="9"/>
      <c r="AN82" s="9"/>
    </row>
    <row r="83" spans="1:40" ht="12.75">
      <c r="A83" s="3"/>
      <c r="B83" s="61">
        <f>B75-SUM(B77:B79)</f>
        <v>0.36631559374709466</v>
      </c>
      <c r="C83" s="61">
        <f aca="true" t="shared" si="9" ref="C83:V83">C75-SUM(C77:C79)</f>
        <v>0.35835331945286353</v>
      </c>
      <c r="D83" s="61">
        <f t="shared" si="9"/>
        <v>0.3465629956287958</v>
      </c>
      <c r="E83" s="61">
        <f t="shared" si="9"/>
        <v>0.3430077159715568</v>
      </c>
      <c r="F83" s="61">
        <f t="shared" si="9"/>
        <v>0.3338247683235046</v>
      </c>
      <c r="G83" s="61">
        <f t="shared" si="9"/>
        <v>0.32749025146982486</v>
      </c>
      <c r="H83" s="61">
        <f t="shared" si="9"/>
        <v>0.31806681956825006</v>
      </c>
      <c r="I83" s="61">
        <f t="shared" si="9"/>
        <v>0.3101111317771785</v>
      </c>
      <c r="J83" s="61">
        <f t="shared" si="9"/>
        <v>0.30780046869769</v>
      </c>
      <c r="K83" s="61">
        <f t="shared" si="9"/>
        <v>0.29902372511589853</v>
      </c>
      <c r="L83" s="61">
        <f t="shared" si="9"/>
        <v>0</v>
      </c>
      <c r="M83" s="61">
        <f t="shared" si="9"/>
        <v>0</v>
      </c>
      <c r="N83" s="61">
        <f t="shared" si="9"/>
        <v>0</v>
      </c>
      <c r="O83" s="61">
        <f t="shared" si="9"/>
        <v>0</v>
      </c>
      <c r="P83" s="61">
        <f t="shared" si="9"/>
        <v>0</v>
      </c>
      <c r="Q83" s="61">
        <f t="shared" si="9"/>
        <v>0</v>
      </c>
      <c r="R83" s="61">
        <f t="shared" si="9"/>
        <v>0</v>
      </c>
      <c r="S83" s="61">
        <f t="shared" si="9"/>
        <v>0</v>
      </c>
      <c r="T83" s="61">
        <f t="shared" si="9"/>
        <v>0</v>
      </c>
      <c r="U83" s="61">
        <f t="shared" si="9"/>
        <v>0</v>
      </c>
      <c r="V83" s="61">
        <f t="shared" si="9"/>
        <v>0</v>
      </c>
      <c r="AM83" s="9"/>
      <c r="AN83" s="9"/>
    </row>
    <row r="84" spans="1:22" ht="12.75">
      <c r="A84" s="19" t="s">
        <v>84</v>
      </c>
      <c r="R84" s="10"/>
      <c r="S84" s="10"/>
      <c r="T84" s="10"/>
      <c r="U84" s="10"/>
      <c r="V84" s="10"/>
    </row>
    <row r="85" spans="18:22" ht="12.75">
      <c r="R85" s="10"/>
      <c r="S85" s="10"/>
      <c r="T85" s="10"/>
      <c r="U85" s="10"/>
      <c r="V85" s="10"/>
    </row>
    <row r="86" spans="1:22" ht="12.75">
      <c r="A86" s="4" t="s">
        <v>346</v>
      </c>
      <c r="R86" s="10"/>
      <c r="S86" s="10"/>
      <c r="T86" s="10"/>
      <c r="U86" s="10"/>
      <c r="V86" s="10"/>
    </row>
    <row r="87" spans="1:26" ht="12.75">
      <c r="A87" s="4" t="s">
        <v>23</v>
      </c>
      <c r="B87" s="31" t="e">
        <f>'Working counts'!B80/'Working counts'!B$21</f>
        <v>#VALUE!</v>
      </c>
      <c r="C87" s="31" t="e">
        <f>'Working counts'!C80/'Working counts'!C$21</f>
        <v>#VALUE!</v>
      </c>
      <c r="D87" s="31">
        <f>'Working counts'!D80/'Working counts'!D$21</f>
        <v>0.016646680334738824</v>
      </c>
      <c r="E87" s="31">
        <f>'Working counts'!E80/'Working counts'!E$21</f>
        <v>0.01693227091633466</v>
      </c>
      <c r="F87" s="31">
        <f>'Working counts'!F80/'Working counts'!F$21</f>
        <v>0.017282818771990685</v>
      </c>
      <c r="G87" s="31">
        <f>'Working counts'!G80/'Working counts'!G$21</f>
        <v>0.017903492569386597</v>
      </c>
      <c r="H87" s="31">
        <f>'Working counts'!H80/'Working counts'!H$21</f>
        <v>0.016657602913011608</v>
      </c>
      <c r="I87" s="31">
        <f>'Working counts'!I80/'Working counts'!I$21</f>
        <v>0.01741374500139496</v>
      </c>
      <c r="J87" s="31">
        <f>'Working counts'!J80/'Working counts'!J$21</f>
        <v>0.016962392590112712</v>
      </c>
      <c r="K87" s="31">
        <f>'Working counts'!K80/'Working counts'!K$21</f>
        <v>0.015565857649304609</v>
      </c>
      <c r="L87" s="31">
        <f>'Working counts'!L80/'Working counts'!L$21</f>
        <v>0.009860567034284591</v>
      </c>
      <c r="M87" s="31">
        <f>'Working counts'!M80/'Working counts'!M$21</f>
        <v>0.009006662325301808</v>
      </c>
      <c r="N87" s="31">
        <f>'Working counts'!N80/'Working counts'!N$21</f>
        <v>0.009301420509826814</v>
      </c>
      <c r="O87" s="31">
        <f>'Working counts'!O80/'Working counts'!O$21</f>
        <v>0.008481897431869945</v>
      </c>
      <c r="P87" s="31">
        <f>'Working counts'!P80/'Working counts'!P$21</f>
        <v>0.007863062923822956</v>
      </c>
      <c r="Q87" s="31">
        <f>'Working counts'!Q80/'Working counts'!Q$21</f>
        <v>0.007123859289681682</v>
      </c>
      <c r="R87" s="31">
        <f>'Working counts'!R80/'Working counts'!R$21</f>
        <v>0.004148693573646179</v>
      </c>
      <c r="S87" s="31">
        <f>'Working counts'!S80/'Working counts'!S$21</f>
        <v>0.004871228582623874</v>
      </c>
      <c r="T87" s="31">
        <f>'Working counts'!T80/'Working counts'!T$21</f>
        <v>0.004869094606939106</v>
      </c>
      <c r="U87" s="31">
        <f>'Working counts'!U80/'Working counts'!U$21</f>
        <v>0.003975736065727619</v>
      </c>
      <c r="V87" s="31">
        <f>'Working counts'!V80/'Working counts'!V$21</f>
        <v>0.004612882885872632</v>
      </c>
      <c r="Y87" t="s">
        <v>333</v>
      </c>
      <c r="Z87" s="59">
        <f>V87-D87</f>
        <v>-0.012033797448866193</v>
      </c>
    </row>
    <row r="88" spans="1:26" ht="12.75">
      <c r="A88" s="4" t="s">
        <v>24</v>
      </c>
      <c r="B88" s="31" t="e">
        <f>'Working counts'!B81/'Working counts'!B$21</f>
        <v>#VALUE!</v>
      </c>
      <c r="C88" s="31" t="e">
        <f>'Working counts'!C81/'Working counts'!C$21</f>
        <v>#VALUE!</v>
      </c>
      <c r="D88" s="31">
        <f>'Working counts'!D81/'Working counts'!D$21</f>
        <v>0.028135597591324644</v>
      </c>
      <c r="E88" s="31">
        <f>'Working counts'!E81/'Working counts'!E$21</f>
        <v>0.028291895708306015</v>
      </c>
      <c r="F88" s="31">
        <f>'Working counts'!F81/'Working counts'!F$21</f>
        <v>0.028383467961742407</v>
      </c>
      <c r="G88" s="31">
        <f>'Working counts'!G81/'Working counts'!G$21</f>
        <v>0.02971038112829428</v>
      </c>
      <c r="H88" s="31">
        <f>'Working counts'!H81/'Working counts'!H$21</f>
        <v>0.029803986475303242</v>
      </c>
      <c r="I88" s="31">
        <f>'Working counts'!I81/'Working counts'!I$21</f>
        <v>0.029108155863479958</v>
      </c>
      <c r="J88" s="31">
        <f>'Working counts'!J81/'Working counts'!J$21</f>
        <v>0.029996652159357214</v>
      </c>
      <c r="K88" s="31">
        <f>'Working counts'!K81/'Working counts'!K$21</f>
        <v>0.028677392964275975</v>
      </c>
      <c r="L88" s="31">
        <f>'Working counts'!L81/'Working counts'!L$21</f>
        <v>0.01583478899006708</v>
      </c>
      <c r="M88" s="31">
        <f>'Working counts'!M81/'Working counts'!M$21</f>
        <v>0.0149376346240545</v>
      </c>
      <c r="N88" s="31">
        <f>'Working counts'!N81/'Working counts'!N$21</f>
        <v>0.013348900564312123</v>
      </c>
      <c r="O88" s="31">
        <f>'Working counts'!O81/'Working counts'!O$21</f>
        <v>0.01263449304955627</v>
      </c>
      <c r="P88" s="31">
        <f>'Working counts'!P81/'Working counts'!P$21</f>
        <v>0.0121037074245088</v>
      </c>
      <c r="Q88" s="31">
        <f>'Working counts'!Q81/'Working counts'!Q$21</f>
        <v>0.011343665122223998</v>
      </c>
      <c r="R88" s="31">
        <f>'Working counts'!R81/'Working counts'!R$21</f>
        <v>0.012427764193019572</v>
      </c>
      <c r="S88" s="31">
        <f>'Working counts'!S81/'Working counts'!S$21</f>
        <v>0.011505717237203006</v>
      </c>
      <c r="T88" s="31">
        <f>'Working counts'!T81/'Working counts'!T$21</f>
        <v>0.010729243868387943</v>
      </c>
      <c r="U88" s="31">
        <f>'Working counts'!U81/'Working counts'!U$21</f>
        <v>0.011108172441153134</v>
      </c>
      <c r="V88" s="31">
        <f>'Working counts'!V81/'Working counts'!V$21</f>
        <v>0.010719145123286762</v>
      </c>
      <c r="Y88" t="s">
        <v>333</v>
      </c>
      <c r="Z88" s="59">
        <f>V88-D88</f>
        <v>-0.01741645246803788</v>
      </c>
    </row>
    <row r="89" spans="1:22" ht="12.75">
      <c r="A89" s="4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</row>
    <row r="90" spans="1:24" ht="12.75">
      <c r="A90" s="25" t="s">
        <v>317</v>
      </c>
      <c r="B90" s="31">
        <f>'Working counts'!B82/'Working counts'!B$21</f>
        <v>0.051146852961098645</v>
      </c>
      <c r="C90" s="31">
        <f>'Working counts'!C82/'Working counts'!C$21</f>
        <v>0.048638747595076824</v>
      </c>
      <c r="D90" s="31">
        <f>SUM('Working counts'!D80:D81)/'Working counts'!D$21</f>
        <v>0.044782277926063464</v>
      </c>
      <c r="E90" s="31">
        <f>SUM('Working counts'!E80:E81)/'Working counts'!E$21</f>
        <v>0.045224166624640676</v>
      </c>
      <c r="F90" s="31">
        <f>SUM('Working counts'!F80:F81)/'Working counts'!F$21</f>
        <v>0.04566628673373309</v>
      </c>
      <c r="G90" s="31">
        <f>SUM('Working counts'!G80:G81)/'Working counts'!G$21</f>
        <v>0.04761387369768088</v>
      </c>
      <c r="H90" s="31">
        <f>SUM('Working counts'!H80:H81)/'Working counts'!H$21</f>
        <v>0.04646158938831485</v>
      </c>
      <c r="I90" s="31">
        <f>SUM('Working counts'!I80:I81)/'Working counts'!I$21</f>
        <v>0.04652190086487492</v>
      </c>
      <c r="J90" s="31">
        <f>SUM('Working counts'!J80:J81)/'Working counts'!J$21</f>
        <v>0.04695904474946992</v>
      </c>
      <c r="K90" s="31">
        <f>SUM('Working counts'!K80:K81)/'Working counts'!K$21</f>
        <v>0.04424325061358059</v>
      </c>
      <c r="L90" s="31">
        <f>SUM('Working counts'!L80:L81)/'Working counts'!L$21</f>
        <v>0.025695356024351673</v>
      </c>
      <c r="M90" s="31">
        <f>SUM('Working counts'!M80:M81)/'Working counts'!M$21</f>
        <v>0.02394429694935631</v>
      </c>
      <c r="N90" s="31">
        <f>SUM('Working counts'!N80:N81)/'Working counts'!N$21</f>
        <v>0.02265032107413894</v>
      </c>
      <c r="O90" s="31">
        <f>SUM('Working counts'!O80:O81)/'Working counts'!O$21</f>
        <v>0.021116390481426214</v>
      </c>
      <c r="P90" s="31">
        <f>SUM('Working counts'!P80:P81)/'Working counts'!P$21</f>
        <v>0.019966770348331754</v>
      </c>
      <c r="Q90" s="31">
        <f>SUM('Working counts'!Q80:Q81)/'Working counts'!Q$21</f>
        <v>0.01846752441190568</v>
      </c>
      <c r="R90" s="31">
        <f>SUM('Working counts'!R80:R81)/'Working counts'!R$21</f>
        <v>0.01657645776666575</v>
      </c>
      <c r="S90" s="31">
        <f>SUM('Working counts'!S80:S81)/'Working counts'!S$21</f>
        <v>0.01637694581982688</v>
      </c>
      <c r="T90" s="31">
        <f>SUM('Working counts'!T80:T81)/'Working counts'!T$21</f>
        <v>0.015598338475327048</v>
      </c>
      <c r="U90" s="31">
        <f>SUM('Working counts'!U80:U81)/'Working counts'!U$21</f>
        <v>0.015083908506880753</v>
      </c>
      <c r="V90" s="31">
        <f>SUM('Working counts'!V80:V81)/'Working counts'!V$21</f>
        <v>0.015332028009159393</v>
      </c>
      <c r="W90" t="s">
        <v>333</v>
      </c>
      <c r="X90" s="59">
        <f aca="true" t="shared" si="10" ref="X90:X95">V90-B90</f>
        <v>-0.03581482495193925</v>
      </c>
    </row>
    <row r="91" spans="1:24" ht="12.75">
      <c r="A91" s="2" t="s">
        <v>25</v>
      </c>
      <c r="B91" s="31">
        <f>'Working counts'!B83/'Working counts'!B$21</f>
        <v>0.10997038237286334</v>
      </c>
      <c r="C91" s="31">
        <f>'Working counts'!C83/'Working counts'!C$21</f>
        <v>0.10781962417310176</v>
      </c>
      <c r="D91" s="31">
        <f>'Working counts'!D83/'Working counts'!D$21</f>
        <v>0.10528283883279821</v>
      </c>
      <c r="E91" s="31">
        <f>'Working counts'!E83/'Working counts'!E$21</f>
        <v>0.10435473296686672</v>
      </c>
      <c r="F91" s="31">
        <f>'Working counts'!F83/'Working counts'!F$21</f>
        <v>0.10572872788542544</v>
      </c>
      <c r="G91" s="31">
        <f>'Working counts'!G83/'Working counts'!G$21</f>
        <v>0.10680525877367716</v>
      </c>
      <c r="H91" s="31">
        <f>'Working counts'!H83/'Working counts'!H$21</f>
        <v>0.10266474357458681</v>
      </c>
      <c r="I91" s="31">
        <f>'Working counts'!I83/'Working counts'!I$21</f>
        <v>0.10202966613968195</v>
      </c>
      <c r="J91" s="31">
        <f>'Working counts'!J83/'Working counts'!J$21</f>
        <v>0.10372726258230108</v>
      </c>
      <c r="K91" s="31">
        <f>'Working counts'!K83/'Working counts'!K$21</f>
        <v>0.10337605672211617</v>
      </c>
      <c r="L91" s="31">
        <f>'Working counts'!L83/'Working counts'!L$21</f>
        <v>0.10500366928857145</v>
      </c>
      <c r="M91" s="31">
        <f>'Working counts'!M83/'Working counts'!M$21</f>
        <v>0.10228923508490707</v>
      </c>
      <c r="N91" s="31">
        <f>'Working counts'!N83/'Working counts'!N$21</f>
        <v>0.09902704806382565</v>
      </c>
      <c r="O91" s="31">
        <f>'Working counts'!O83/'Working counts'!O$21</f>
        <v>0.09449854708238435</v>
      </c>
      <c r="P91" s="31">
        <f>'Working counts'!P83/'Working counts'!P$21</f>
        <v>0.09166167577906145</v>
      </c>
      <c r="Q91" s="31">
        <f>'Working counts'!Q83/'Working counts'!Q$21</f>
        <v>0.09099367499036681</v>
      </c>
      <c r="R91" s="31">
        <f>'Working counts'!R83/'Working counts'!R$21</f>
        <v>0.10154683078275682</v>
      </c>
      <c r="S91" s="31">
        <f>'Working counts'!S83/'Working counts'!S$21</f>
        <v>0.09398710504755459</v>
      </c>
      <c r="T91" s="31">
        <f>'Working counts'!T83/'Working counts'!T$21</f>
        <v>0.08802288905358589</v>
      </c>
      <c r="U91" s="31">
        <f>'Working counts'!U83/'Working counts'!U$21</f>
        <v>0.08802928052827806</v>
      </c>
      <c r="V91" s="31">
        <f>'Working counts'!V83/'Working counts'!V$21</f>
        <v>0.08561211960309295</v>
      </c>
      <c r="W91" t="s">
        <v>333</v>
      </c>
      <c r="X91" s="59">
        <f t="shared" si="10"/>
        <v>-0.024358262769770392</v>
      </c>
    </row>
    <row r="92" spans="1:24" ht="12.75">
      <c r="A92" s="2" t="s">
        <v>26</v>
      </c>
      <c r="B92" s="31">
        <f>'Working counts'!B84/'Working counts'!B$21</f>
        <v>0.20746948587518096</v>
      </c>
      <c r="C92" s="31">
        <f>'Working counts'!C84/'Working counts'!C$21</f>
        <v>0.20725825580475976</v>
      </c>
      <c r="D92" s="31">
        <f>'Working counts'!D84/'Working counts'!D$21</f>
        <v>0.2057173803721326</v>
      </c>
      <c r="E92" s="31">
        <f>'Working counts'!E84/'Working counts'!E$21</f>
        <v>0.20385546421907308</v>
      </c>
      <c r="F92" s="31">
        <f>'Working counts'!F84/'Working counts'!F$21</f>
        <v>0.2006045889290847</v>
      </c>
      <c r="G92" s="31">
        <f>'Working counts'!G84/'Working counts'!G$21</f>
        <v>0.19996861154370843</v>
      </c>
      <c r="H92" s="31">
        <f>'Working counts'!H84/'Working counts'!H$21</f>
        <v>0.19693566311209892</v>
      </c>
      <c r="I92" s="31">
        <f>'Working counts'!I84/'Working counts'!I$21</f>
        <v>0.19443411141076908</v>
      </c>
      <c r="J92" s="31">
        <f>'Working counts'!J84/'Working counts'!J$21</f>
        <v>0.19313692668228993</v>
      </c>
      <c r="K92" s="31">
        <f>'Working counts'!K84/'Working counts'!K$21</f>
        <v>0.19446959367330244</v>
      </c>
      <c r="L92" s="31">
        <f>'Working counts'!L84/'Working counts'!L$21</f>
        <v>0.20068424479839586</v>
      </c>
      <c r="M92" s="31">
        <f>'Working counts'!M84/'Working counts'!M$21</f>
        <v>0.20762410459349798</v>
      </c>
      <c r="N92" s="31">
        <f>'Working counts'!N84/'Working counts'!N$21</f>
        <v>0.19934812220276318</v>
      </c>
      <c r="O92" s="31">
        <f>'Working counts'!O84/'Working counts'!O$21</f>
        <v>0.1950738239220922</v>
      </c>
      <c r="P92" s="31">
        <f>'Working counts'!P84/'Working counts'!P$21</f>
        <v>0.19303143293213038</v>
      </c>
      <c r="Q92" s="31">
        <f>'Working counts'!Q84/'Working counts'!Q$21</f>
        <v>0.1853143238442525</v>
      </c>
      <c r="R92" s="31">
        <f>'Working counts'!R84/'Working counts'!R$21</f>
        <v>0.20315776941323002</v>
      </c>
      <c r="S92" s="31">
        <f>'Working counts'!S84/'Working counts'!S$21</f>
        <v>0.20037936807608733</v>
      </c>
      <c r="T92" s="31">
        <f>'Working counts'!T84/'Working counts'!T$21</f>
        <v>0.1895241214085041</v>
      </c>
      <c r="U92" s="31">
        <f>'Working counts'!U84/'Working counts'!U$21</f>
        <v>0.18828437603979148</v>
      </c>
      <c r="V92" s="31">
        <f>'Working counts'!V84/'Working counts'!V$21</f>
        <v>0.17919722563302692</v>
      </c>
      <c r="W92" t="s">
        <v>333</v>
      </c>
      <c r="X92" s="59">
        <f t="shared" si="10"/>
        <v>-0.02827226024215404</v>
      </c>
    </row>
    <row r="93" spans="1:24" ht="12.75">
      <c r="A93" s="2" t="s">
        <v>27</v>
      </c>
      <c r="B93" s="31">
        <f>'Working counts'!B85/'Working counts'!B$21</f>
        <v>0.24687553955879032</v>
      </c>
      <c r="C93" s="31">
        <f>'Working counts'!C85/'Working counts'!C$21</f>
        <v>0.2482671375484279</v>
      </c>
      <c r="D93" s="31">
        <f>'Working counts'!D85/'Working counts'!D$21</f>
        <v>0.24661844158188595</v>
      </c>
      <c r="E93" s="31">
        <f>'Working counts'!E85/'Working counts'!E$21</f>
        <v>0.24285137929295475</v>
      </c>
      <c r="F93" s="31">
        <f>'Working counts'!F85/'Working counts'!F$21</f>
        <v>0.2398904802021904</v>
      </c>
      <c r="G93" s="31">
        <f>'Working counts'!G85/'Working counts'!G$21</f>
        <v>0.2374415993625729</v>
      </c>
      <c r="H93" s="31">
        <f>'Working counts'!H85/'Working counts'!H$21</f>
        <v>0.23802993403163644</v>
      </c>
      <c r="I93" s="31">
        <f>'Working counts'!I85/'Working counts'!I$21</f>
        <v>0.23808472054310426</v>
      </c>
      <c r="J93" s="31">
        <f>'Working counts'!J85/'Working counts'!J$21</f>
        <v>0.23714987166610868</v>
      </c>
      <c r="K93" s="31">
        <f>'Working counts'!K85/'Working counts'!K$21</f>
        <v>0.23929097354785928</v>
      </c>
      <c r="L93" s="31">
        <f>'Working counts'!L85/'Working counts'!L$21</f>
        <v>0.2230617370722178</v>
      </c>
      <c r="M93" s="31">
        <f>'Working counts'!M85/'Working counts'!M$21</f>
        <v>0.22847267444772829</v>
      </c>
      <c r="N93" s="31">
        <f>'Working counts'!N85/'Working counts'!N$21</f>
        <v>0.224430823117338</v>
      </c>
      <c r="O93" s="31">
        <f>'Working counts'!O85/'Working counts'!O$21</f>
        <v>0.22680240320427236</v>
      </c>
      <c r="P93" s="31">
        <f>'Working counts'!P85/'Working counts'!P$21</f>
        <v>0.22152779119414232</v>
      </c>
      <c r="Q93" s="31">
        <f>'Working counts'!Q85/'Working counts'!Q$21</f>
        <v>0.22243733729312143</v>
      </c>
      <c r="R93" s="31">
        <f>'Working counts'!R85/'Working counts'!R$21</f>
        <v>0.21911146523065086</v>
      </c>
      <c r="S93" s="31">
        <f>'Working counts'!S85/'Working counts'!S$21</f>
        <v>0.23008762868236385</v>
      </c>
      <c r="T93" s="31">
        <f>'Working counts'!T85/'Working counts'!T$21</f>
        <v>0.23398369499646668</v>
      </c>
      <c r="U93" s="31">
        <f>'Working counts'!U85/'Working counts'!U$21</f>
        <v>0.23178711895641194</v>
      </c>
      <c r="V93" s="31">
        <f>'Working counts'!V85/'Working counts'!V$21</f>
        <v>0.22970663392294163</v>
      </c>
      <c r="W93" t="s">
        <v>333</v>
      </c>
      <c r="X93" s="59">
        <f t="shared" si="10"/>
        <v>-0.01716890563584869</v>
      </c>
    </row>
    <row r="94" spans="1:24" ht="12.75">
      <c r="A94" s="2" t="s">
        <v>28</v>
      </c>
      <c r="B94" s="31">
        <f>'Working counts'!B86/'Working counts'!B$21</f>
        <v>0.19862404207562456</v>
      </c>
      <c r="C94" s="31">
        <f>'Working counts'!C86/'Working counts'!C$21</f>
        <v>0.19878501963471523</v>
      </c>
      <c r="D94" s="31">
        <f>'Working counts'!D86/'Working counts'!D$21</f>
        <v>0.20173300839425942</v>
      </c>
      <c r="E94" s="31">
        <f>'Working counts'!E86/'Working counts'!E$21</f>
        <v>0.20287205607947956</v>
      </c>
      <c r="F94" s="31">
        <f>'Working counts'!F86/'Working counts'!F$21</f>
        <v>0.20225234154318847</v>
      </c>
      <c r="G94" s="31">
        <f>'Working counts'!G86/'Working counts'!G$21</f>
        <v>0.20074125046780872</v>
      </c>
      <c r="H94" s="31">
        <f>'Working counts'!H86/'Working counts'!H$21</f>
        <v>0.20328423143309768</v>
      </c>
      <c r="I94" s="31">
        <f>'Working counts'!I86/'Working counts'!I$21</f>
        <v>0.20240863014972565</v>
      </c>
      <c r="J94" s="31">
        <f>'Working counts'!J86/'Working counts'!J$21</f>
        <v>0.20246624260685192</v>
      </c>
      <c r="K94" s="31">
        <f>'Working counts'!K86/'Working counts'!K$21</f>
        <v>0.19988001090809926</v>
      </c>
      <c r="L94" s="31">
        <f>'Working counts'!L86/'Working counts'!L$21</f>
        <v>0.19171257584057716</v>
      </c>
      <c r="M94" s="31">
        <f>'Working counts'!M86/'Working counts'!M$21</f>
        <v>0.19483043630716826</v>
      </c>
      <c r="N94" s="31">
        <f>'Working counts'!N86/'Working counts'!N$21</f>
        <v>0.1995524421093598</v>
      </c>
      <c r="O94" s="31">
        <f>'Working counts'!O86/'Working counts'!O$21</f>
        <v>0.2011505536794157</v>
      </c>
      <c r="P94" s="31">
        <f>'Working counts'!P86/'Working counts'!P$21</f>
        <v>0.2029327099553718</v>
      </c>
      <c r="Q94" s="31">
        <f>'Working counts'!Q86/'Working counts'!Q$21</f>
        <v>0.20510699886281403</v>
      </c>
      <c r="R94" s="31">
        <f>'Working counts'!R86/'Working counts'!R$21</f>
        <v>0.19261660759586413</v>
      </c>
      <c r="S94" s="31">
        <f>'Working counts'!S86/'Working counts'!S$21</f>
        <v>0.20441349339222742</v>
      </c>
      <c r="T94" s="31">
        <f>'Working counts'!T86/'Working counts'!T$21</f>
        <v>0.20974163636050258</v>
      </c>
      <c r="U94" s="31">
        <f>'Working counts'!U86/'Working counts'!U$21</f>
        <v>0.2067979967750467</v>
      </c>
      <c r="V94" s="31">
        <f>'Working counts'!V86/'Working counts'!V$21</f>
        <v>0.20583745395413666</v>
      </c>
      <c r="W94" t="s">
        <v>333</v>
      </c>
      <c r="X94" s="59">
        <f t="shared" si="10"/>
        <v>0.007213411878512099</v>
      </c>
    </row>
    <row r="95" spans="1:24" ht="12.75">
      <c r="A95" s="3" t="s">
        <v>141</v>
      </c>
      <c r="B95" s="31">
        <f>'Working counts'!B91/'Working counts'!B$21</f>
        <v>0.18591369715644215</v>
      </c>
      <c r="C95" s="31">
        <f>'Working counts'!C91/'Working counts'!C$21</f>
        <v>0.1892312152439185</v>
      </c>
      <c r="D95" s="31">
        <f>'Working counts'!D91/'Working counts'!D$21</f>
        <v>0.19586605289286035</v>
      </c>
      <c r="E95" s="31">
        <f>'Working counts'!E91/'Working counts'!E$21</f>
        <v>0.20082959302032377</v>
      </c>
      <c r="F95" s="31">
        <f>'Working counts'!F91/'Working counts'!F$21</f>
        <v>0.20584518558897863</v>
      </c>
      <c r="G95" s="31">
        <f>'Working counts'!G91/'Working counts'!G$21</f>
        <v>0.20745355112093006</v>
      </c>
      <c r="H95" s="31">
        <f>'Working counts'!H91/'Working counts'!H$21</f>
        <v>0.21261201617288913</v>
      </c>
      <c r="I95" s="31">
        <f>'Working counts'!I91/'Working counts'!I$21</f>
        <v>0.21650934622895937</v>
      </c>
      <c r="J95" s="31">
        <f>'Working counts'!J91/'Working counts'!J$21</f>
        <v>0.21654949224416917</v>
      </c>
      <c r="K95" s="31">
        <f>'Working counts'!K91/'Working counts'!K$21</f>
        <v>0.21874011453504227</v>
      </c>
      <c r="L95" s="31">
        <f>'Working counts'!L91/'Working counts'!L$21</f>
        <v>0.2538320809517411</v>
      </c>
      <c r="M95" s="31">
        <f>'Working counts'!M91/'Working counts'!M$21</f>
        <v>0.24283925261734207</v>
      </c>
      <c r="N95" s="31">
        <f>'Working counts'!N91/'Working counts'!N$21</f>
        <v>0.2550009729519362</v>
      </c>
      <c r="O95" s="31">
        <f>'Working counts'!O91/'Working counts'!O$21</f>
        <v>0.2613680986413257</v>
      </c>
      <c r="P95" s="31">
        <f>'Working counts'!P91/'Working counts'!P$21</f>
        <v>0.2708699600085006</v>
      </c>
      <c r="Q95" s="31">
        <f>'Working counts'!Q91/'Working counts'!Q$21</f>
        <v>0.27767074236628664</v>
      </c>
      <c r="R95" s="31">
        <f>'Working counts'!R91/'Working counts'!R$21</f>
        <v>0.26699086921083237</v>
      </c>
      <c r="S95" s="31">
        <f>'Working counts'!S91/'Working counts'!S$21</f>
        <v>0.2547643643358387</v>
      </c>
      <c r="T95" s="31">
        <f>'Working counts'!T91/'Working counts'!T$21</f>
        <v>0.26313793757217463</v>
      </c>
      <c r="U95" s="31">
        <f>'Working counts'!U91/'Working counts'!U$21</f>
        <v>0.27001731919359107</v>
      </c>
      <c r="V95" s="31">
        <f>'Working counts'!V91/'Working counts'!V$21</f>
        <v>0.28431453887764246</v>
      </c>
      <c r="W95" t="s">
        <v>333</v>
      </c>
      <c r="X95" s="59">
        <f t="shared" si="10"/>
        <v>0.09840084172120031</v>
      </c>
    </row>
    <row r="96" spans="1:22" ht="12.75">
      <c r="A96" s="2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6" ht="12.75">
      <c r="A97" s="2" t="s">
        <v>29</v>
      </c>
      <c r="B97" s="31">
        <f>'Working counts'!B87/'Working counts'!B$21</f>
        <v>0</v>
      </c>
      <c r="C97" s="31">
        <f>'Working counts'!C87/'Working counts'!C$21</f>
        <v>0</v>
      </c>
      <c r="D97" s="31">
        <f>'Working counts'!D87/'Working counts'!D$21</f>
        <v>0</v>
      </c>
      <c r="E97" s="31">
        <f>'Working counts'!E87/'Working counts'!E$21</f>
        <v>0</v>
      </c>
      <c r="F97" s="31">
        <f>'Working counts'!F87/'Working counts'!F$21</f>
        <v>0</v>
      </c>
      <c r="G97" s="31">
        <f>'Working counts'!G87/'Working counts'!G$21</f>
        <v>0</v>
      </c>
      <c r="H97" s="31">
        <f>'Working counts'!H87/'Working counts'!H$21</f>
        <v>0</v>
      </c>
      <c r="I97" s="31">
        <f>'Working counts'!I87/'Working counts'!I$21</f>
        <v>0</v>
      </c>
      <c r="J97" s="31">
        <f>'Working counts'!J87/'Working counts'!J$21</f>
        <v>0</v>
      </c>
      <c r="K97" s="31">
        <f>'Working counts'!K87/'Working counts'!K$21</f>
        <v>0</v>
      </c>
      <c r="L97" s="31">
        <f>'Working counts'!L87/'Working counts'!L$21</f>
        <v>0.1264302473410578</v>
      </c>
      <c r="M97" s="31">
        <f>'Working counts'!M87/'Working counts'!M$21</f>
        <v>0.12354856484496318</v>
      </c>
      <c r="N97" s="31">
        <f>'Working counts'!N87/'Working counts'!N$21</f>
        <v>0.12877018875267562</v>
      </c>
      <c r="O97" s="31">
        <f>'Working counts'!O87/'Working counts'!O$21</f>
        <v>0.1264627346265609</v>
      </c>
      <c r="P97" s="31">
        <f>'Working counts'!P87/'Working counts'!P$21</f>
        <v>0.1312957632194123</v>
      </c>
      <c r="Q97" s="31">
        <f>'Working counts'!Q87/'Working counts'!Q$21</f>
        <v>0.13247746774057123</v>
      </c>
      <c r="R97" s="31">
        <f>'Working counts'!R87/'Working counts'!R$21</f>
        <v>0.12481797950380526</v>
      </c>
      <c r="S97" s="31">
        <f>'Working counts'!S87/'Working counts'!S$21</f>
        <v>0.12462152245930254</v>
      </c>
      <c r="T97" s="31">
        <f>'Working counts'!T87/'Working counts'!T$21</f>
        <v>0.1257260552577604</v>
      </c>
      <c r="U97" s="31">
        <f>'Working counts'!U87/'Working counts'!U$21</f>
        <v>0.12379384187490935</v>
      </c>
      <c r="V97" s="31">
        <f>'Working counts'!V87/'Working counts'!V$21</f>
        <v>0.12492947930839943</v>
      </c>
      <c r="Y97" t="s">
        <v>333</v>
      </c>
      <c r="Z97" s="59">
        <f>V97-L97</f>
        <v>-0.0015007680326583617</v>
      </c>
    </row>
    <row r="98" spans="1:26" ht="12.75">
      <c r="A98" s="2" t="s">
        <v>30</v>
      </c>
      <c r="B98" s="31">
        <f>'Working counts'!B88/'Working counts'!B$21</f>
        <v>0</v>
      </c>
      <c r="C98" s="31">
        <f>'Working counts'!C88/'Working counts'!C$21</f>
        <v>0</v>
      </c>
      <c r="D98" s="31">
        <f>'Working counts'!D88/'Working counts'!D$21</f>
        <v>0</v>
      </c>
      <c r="E98" s="31">
        <f>'Working counts'!E88/'Working counts'!E$21</f>
        <v>0</v>
      </c>
      <c r="F98" s="31">
        <f>'Working counts'!F88/'Working counts'!F$21</f>
        <v>0</v>
      </c>
      <c r="G98" s="31">
        <f>'Working counts'!G88/'Working counts'!G$21</f>
        <v>0</v>
      </c>
      <c r="H98" s="31">
        <f>'Working counts'!H88/'Working counts'!H$21</f>
        <v>0</v>
      </c>
      <c r="I98" s="31">
        <f>'Working counts'!I88/'Working counts'!I$21</f>
        <v>0</v>
      </c>
      <c r="J98" s="31">
        <f>'Working counts'!J88/'Working counts'!J$21</f>
        <v>0</v>
      </c>
      <c r="K98" s="31">
        <f>'Working counts'!K88/'Working counts'!K$21</f>
        <v>0</v>
      </c>
      <c r="L98" s="31">
        <f>'Working counts'!L88/'Working counts'!L$21</f>
        <v>0.07200074419373843</v>
      </c>
      <c r="M98" s="31">
        <f>'Working counts'!M88/'Working counts'!M$21</f>
        <v>0.06901768271301909</v>
      </c>
      <c r="N98" s="31">
        <f>'Working counts'!N88/'Working counts'!N$21</f>
        <v>0.07244600116754232</v>
      </c>
      <c r="O98" s="31">
        <f>'Working counts'!O88/'Working counts'!O$21</f>
        <v>0.07607201759208357</v>
      </c>
      <c r="P98" s="31">
        <f>'Working counts'!P88/'Working counts'!P$21</f>
        <v>0.07710438360928112</v>
      </c>
      <c r="Q98" s="31">
        <f>'Working counts'!Q88/'Working counts'!Q$21</f>
        <v>0.07820268225519957</v>
      </c>
      <c r="R98" s="31">
        <f>'Working counts'!R88/'Working counts'!R$21</f>
        <v>0.07659056149316336</v>
      </c>
      <c r="S98" s="31">
        <f>'Working counts'!S88/'Working counts'!S$21</f>
        <v>0.07314857692444698</v>
      </c>
      <c r="T98" s="31">
        <f>'Working counts'!T88/'Working counts'!T$21</f>
        <v>0.07232975404608835</v>
      </c>
      <c r="U98" s="31">
        <f>'Working counts'!U88/'Working counts'!U$21</f>
        <v>0.07038588528380442</v>
      </c>
      <c r="V98" s="31">
        <f>'Working counts'!V88/'Working counts'!V$21</f>
        <v>0.07267779510835297</v>
      </c>
      <c r="Y98" t="s">
        <v>333</v>
      </c>
      <c r="Z98" s="59">
        <f>V98-L98</f>
        <v>0.0006770509146145354</v>
      </c>
    </row>
    <row r="99" spans="1:26" ht="12.75">
      <c r="A99" s="2" t="s">
        <v>31</v>
      </c>
      <c r="B99" s="31">
        <f>'Working counts'!B89/'Working counts'!B$21</f>
        <v>0</v>
      </c>
      <c r="C99" s="31">
        <f>'Working counts'!C89/'Working counts'!C$21</f>
        <v>0</v>
      </c>
      <c r="D99" s="31">
        <f>'Working counts'!D89/'Working counts'!D$21</f>
        <v>0</v>
      </c>
      <c r="E99" s="31">
        <f>'Working counts'!E89/'Working counts'!E$21</f>
        <v>0</v>
      </c>
      <c r="F99" s="31">
        <f>'Working counts'!F89/'Working counts'!F$21</f>
        <v>0</v>
      </c>
      <c r="G99" s="31">
        <f>'Working counts'!G89/'Working counts'!G$21</f>
        <v>0</v>
      </c>
      <c r="H99" s="31">
        <f>'Working counts'!H89/'Working counts'!H$21</f>
        <v>0</v>
      </c>
      <c r="I99" s="31">
        <f>'Working counts'!I89/'Working counts'!I$21</f>
        <v>0</v>
      </c>
      <c r="J99" s="31">
        <f>'Working counts'!J89/'Working counts'!J$21</f>
        <v>0</v>
      </c>
      <c r="K99" s="31">
        <f>'Working counts'!K89/'Working counts'!K$21</f>
        <v>0</v>
      </c>
      <c r="L99" s="31">
        <f>'Working counts'!L89/'Working counts'!L$21</f>
        <v>0.032754860515354166</v>
      </c>
      <c r="M99" s="31">
        <f>'Working counts'!M89/'Working counts'!M$21</f>
        <v>0.03014576967389671</v>
      </c>
      <c r="N99" s="31">
        <f>'Working counts'!N89/'Working counts'!N$21</f>
        <v>0.03186417590971006</v>
      </c>
      <c r="O99" s="31">
        <f>'Working counts'!O89/'Working counts'!O$21</f>
        <v>0.034035576847561456</v>
      </c>
      <c r="P99" s="31">
        <f>'Working counts'!P89/'Working counts'!P$21</f>
        <v>0.03711288421784741</v>
      </c>
      <c r="Q99" s="31">
        <f>'Working counts'!Q89/'Working counts'!Q$21</f>
        <v>0.03849515521178914</v>
      </c>
      <c r="R99" s="31">
        <f>'Working counts'!R89/'Working counts'!R$21</f>
        <v>0.038116694599371746</v>
      </c>
      <c r="S99" s="31">
        <f>'Working counts'!S89/'Working counts'!S$21</f>
        <v>0.03276279699355252</v>
      </c>
      <c r="T99" s="31">
        <f>'Working counts'!T89/'Working counts'!T$21</f>
        <v>0.03334252572433168</v>
      </c>
      <c r="U99" s="31">
        <f>'Working counts'!U89/'Working counts'!U$21</f>
        <v>0.03318801136412111</v>
      </c>
      <c r="V99" s="31">
        <f>'Working counts'!V89/'Working counts'!V$21</f>
        <v>0.03487040785849401</v>
      </c>
      <c r="Y99" t="s">
        <v>333</v>
      </c>
      <c r="Z99" s="59">
        <f>V99-L99</f>
        <v>0.0021155473431398453</v>
      </c>
    </row>
    <row r="100" spans="1:26" ht="12.75">
      <c r="A100" s="2" t="s">
        <v>32</v>
      </c>
      <c r="B100" s="31">
        <f>'Working counts'!B90/'Working counts'!B$21</f>
        <v>0</v>
      </c>
      <c r="C100" s="31">
        <f>'Working counts'!C90/'Working counts'!C$21</f>
        <v>0</v>
      </c>
      <c r="D100" s="31">
        <f>'Working counts'!D90/'Working counts'!D$21</f>
        <v>0</v>
      </c>
      <c r="E100" s="31">
        <f>'Working counts'!E90/'Working counts'!E$21</f>
        <v>0</v>
      </c>
      <c r="F100" s="31">
        <f>'Working counts'!F90/'Working counts'!F$21</f>
        <v>0</v>
      </c>
      <c r="G100" s="31">
        <f>'Working counts'!G90/'Working counts'!G$21</f>
        <v>0</v>
      </c>
      <c r="H100" s="31">
        <f>'Working counts'!H90/'Working counts'!H$21</f>
        <v>0</v>
      </c>
      <c r="I100" s="31">
        <f>'Working counts'!I90/'Working counts'!I$21</f>
        <v>0</v>
      </c>
      <c r="J100" s="31">
        <f>'Working counts'!J90/'Working counts'!J$21</f>
        <v>0</v>
      </c>
      <c r="K100" s="31">
        <f>'Working counts'!K90/'Working counts'!K$21</f>
        <v>0</v>
      </c>
      <c r="L100" s="31">
        <f>'Working counts'!L90/'Working counts'!L$21</f>
        <v>0.022646228901590713</v>
      </c>
      <c r="M100" s="31">
        <f>'Working counts'!M90/'Working counts'!M$21</f>
        <v>0.020127235385463106</v>
      </c>
      <c r="N100" s="31">
        <f>'Working counts'!N90/'Working counts'!N$21</f>
        <v>0.021920607122008173</v>
      </c>
      <c r="O100" s="31">
        <f>'Working counts'!O90/'Working counts'!O$21</f>
        <v>0.02479776957511977</v>
      </c>
      <c r="P100" s="31">
        <f>'Working counts'!P90/'Working counts'!P$21</f>
        <v>0.025356928961959777</v>
      </c>
      <c r="Q100" s="31">
        <f>'Working counts'!Q90/'Working counts'!Q$21</f>
        <v>0.028495437158726728</v>
      </c>
      <c r="R100" s="31">
        <f>'Working counts'!R90/'Working counts'!R$21</f>
        <v>0.027465633614492037</v>
      </c>
      <c r="S100" s="31">
        <f>'Working counts'!S90/'Working counts'!S$21</f>
        <v>0.024231467958536673</v>
      </c>
      <c r="T100" s="31">
        <f>'Working counts'!T90/'Working counts'!T$21</f>
        <v>0.03173960254399421</v>
      </c>
      <c r="U100" s="31">
        <f>'Working counts'!U90/'Working counts'!U$21</f>
        <v>0.04264958067075616</v>
      </c>
      <c r="V100" s="31">
        <f>'Working counts'!V90/'Working counts'!V$21</f>
        <v>0.05183685660239604</v>
      </c>
      <c r="Y100" t="s">
        <v>333</v>
      </c>
      <c r="Z100" s="59">
        <f>V100-L100</f>
        <v>0.02919062770080533</v>
      </c>
    </row>
    <row r="102" spans="1:22" ht="12.75">
      <c r="A102" s="3" t="s">
        <v>86</v>
      </c>
      <c r="B102" s="30">
        <v>5</v>
      </c>
      <c r="C102" s="30">
        <v>5</v>
      </c>
      <c r="D102" s="30">
        <v>5.1</v>
      </c>
      <c r="E102" s="30">
        <v>5.1</v>
      </c>
      <c r="F102" s="30">
        <v>5.1</v>
      </c>
      <c r="G102" s="30">
        <v>5.1</v>
      </c>
      <c r="H102" s="30">
        <v>5.1</v>
      </c>
      <c r="I102" s="30">
        <v>5.1</v>
      </c>
      <c r="J102" s="30">
        <v>5.1</v>
      </c>
      <c r="K102" s="30">
        <v>5.1</v>
      </c>
      <c r="L102" s="30">
        <v>5.3</v>
      </c>
      <c r="M102" s="30">
        <v>5.2</v>
      </c>
      <c r="N102" s="30">
        <v>5.3</v>
      </c>
      <c r="O102" s="30">
        <v>5.3</v>
      </c>
      <c r="P102" s="30">
        <v>5.4</v>
      </c>
      <c r="Q102" s="30">
        <v>5.4</v>
      </c>
      <c r="R102" s="32">
        <v>5.315653082549634</v>
      </c>
      <c r="S102" s="32">
        <v>5.322560668808298</v>
      </c>
      <c r="T102" s="32">
        <v>5.384074251408788</v>
      </c>
      <c r="U102" s="32">
        <v>5.399974234393404</v>
      </c>
      <c r="V102" s="32">
        <v>5.457127893957453</v>
      </c>
    </row>
    <row r="103" spans="1:22" ht="12.75">
      <c r="A103" s="4"/>
      <c r="R103" s="10"/>
      <c r="S103" s="10"/>
      <c r="T103" s="10"/>
      <c r="U103" s="10"/>
      <c r="V103" s="10"/>
    </row>
    <row r="104" spans="1:22" ht="12.75">
      <c r="A104" s="5" t="s">
        <v>347</v>
      </c>
      <c r="R104" s="10"/>
      <c r="S104" s="10"/>
      <c r="T104" s="10"/>
      <c r="U104" s="10"/>
      <c r="V104" s="10"/>
    </row>
    <row r="105" spans="1:24" ht="12.75">
      <c r="A105" s="2" t="s">
        <v>33</v>
      </c>
      <c r="B105" s="31">
        <f>'Working counts'!B95/'Working counts'!B$21</f>
        <v>0.02470349169245481</v>
      </c>
      <c r="C105" s="31">
        <f>'Working counts'!C95/'Working counts'!C$21</f>
        <v>0.0236670795667185</v>
      </c>
      <c r="D105" s="31">
        <f>'Working counts'!D95/'Working counts'!D$21</f>
        <v>0.02154655525898418</v>
      </c>
      <c r="E105" s="31">
        <f>'Working counts'!E95/'Working counts'!E$21</f>
        <v>0.021710625851026275</v>
      </c>
      <c r="F105" s="31">
        <f>'Working counts'!F95/'Working counts'!F$21</f>
        <v>0.022969423658258586</v>
      </c>
      <c r="G105" s="31">
        <f>'Working counts'!G95/'Working counts'!G$21</f>
        <v>0.02278077577776973</v>
      </c>
      <c r="H105" s="31">
        <f>'Working counts'!H95/'Working counts'!H$21</f>
        <v>0.02125647270233845</v>
      </c>
      <c r="I105" s="31">
        <f>'Working counts'!I95/'Working counts'!I$21</f>
        <v>0.02144750302241235</v>
      </c>
      <c r="J105" s="31">
        <f>'Working counts'!J95/'Working counts'!J$21</f>
        <v>0.02082356879812521</v>
      </c>
      <c r="K105" s="31">
        <f>'Working counts'!K95/'Working counts'!K$21</f>
        <v>0.019525497682028905</v>
      </c>
      <c r="L105" s="31">
        <f>'Working counts'!L95/'Working counts'!L$21</f>
        <v>0.018356778881435467</v>
      </c>
      <c r="M105" s="31">
        <f>'Working counts'!M95/'Working counts'!M$21</f>
        <v>0.01649050743876171</v>
      </c>
      <c r="N105" s="31">
        <f>'Working counts'!N95/'Working counts'!N$21</f>
        <v>0.01687098657326328</v>
      </c>
      <c r="O105" s="31">
        <f>'Working counts'!O95/'Working counts'!O$21</f>
        <v>0.015569779313594597</v>
      </c>
      <c r="P105" s="31">
        <f>'Working counts'!P95/'Working counts'!P$21</f>
        <v>0.014199880218697475</v>
      </c>
      <c r="Q105" s="31">
        <f>'Working counts'!Q95/'Working counts'!Q$21</f>
        <v>0.01290377151020178</v>
      </c>
      <c r="R105" s="31">
        <f>'Working counts'!R95/'Working counts'!R$21</f>
        <v>0.005394217472135982</v>
      </c>
      <c r="S105" s="31">
        <f>'Working counts'!S95/'Working counts'!S$21</f>
        <v>0.010169914152388417</v>
      </c>
      <c r="T105" s="31">
        <f>'Working counts'!T95/'Working counts'!T$21</f>
        <v>0.009539978282976267</v>
      </c>
      <c r="U105" s="31">
        <f>'Working counts'!U95/'Working counts'!U$21</f>
        <v>0.009359189837131326</v>
      </c>
      <c r="V105" s="31">
        <f>'Working counts'!V95/'Working counts'!V$21</f>
        <v>0.00944147612252348</v>
      </c>
      <c r="W105" t="s">
        <v>333</v>
      </c>
      <c r="X105" s="59">
        <f>V105-B105</f>
        <v>-0.01526201556993133</v>
      </c>
    </row>
    <row r="106" spans="1:24" ht="12.75">
      <c r="A106" s="11">
        <v>1</v>
      </c>
      <c r="B106" s="31">
        <f>'Working counts'!B96/'Working counts'!B$21</f>
        <v>0.1486193935691233</v>
      </c>
      <c r="C106" s="31">
        <f>'Working counts'!C96/'Working counts'!C$21</f>
        <v>0.14639063858946313</v>
      </c>
      <c r="D106" s="31">
        <f>'Working counts'!D96/'Working counts'!D$21</f>
        <v>0.14535865795004707</v>
      </c>
      <c r="E106" s="31">
        <f>'Working counts'!E96/'Working counts'!E$21</f>
        <v>0.14596046194966966</v>
      </c>
      <c r="F106" s="31">
        <f>'Working counts'!F96/'Working counts'!F$21</f>
        <v>0.14385004212299915</v>
      </c>
      <c r="G106" s="31">
        <f>'Working counts'!G96/'Working counts'!G$21</f>
        <v>0.1475136720872116</v>
      </c>
      <c r="H106" s="31">
        <f>'Working counts'!H96/'Working counts'!H$21</f>
        <v>0.14484666493273118</v>
      </c>
      <c r="I106" s="31">
        <f>'Working counts'!I96/'Working counts'!I$21</f>
        <v>0.142878731516786</v>
      </c>
      <c r="J106" s="31">
        <f>'Working counts'!J96/'Working counts'!J$21</f>
        <v>0.14403526392143734</v>
      </c>
      <c r="K106" s="31">
        <f>'Working counts'!K96/'Working counts'!K$21</f>
        <v>0.14321243523316063</v>
      </c>
      <c r="L106" s="31">
        <f>'Working counts'!L96/'Working counts'!L$21</f>
        <v>0.13997043897094544</v>
      </c>
      <c r="M106" s="31">
        <f>'Working counts'!M96/'Working counts'!M$21</f>
        <v>0.13930771928066923</v>
      </c>
      <c r="N106" s="31">
        <f>'Working counts'!N96/'Working counts'!N$21</f>
        <v>0.13489978595057403</v>
      </c>
      <c r="O106" s="31">
        <f>'Working counts'!O96/'Working counts'!O$21</f>
        <v>0.13350153145370297</v>
      </c>
      <c r="P106" s="31">
        <f>'Working counts'!P96/'Working counts'!P$21</f>
        <v>0.12884217847414076</v>
      </c>
      <c r="Q106" s="31">
        <f>'Working counts'!Q96/'Working counts'!Q$21</f>
        <v>0.12870877700816707</v>
      </c>
      <c r="R106" s="31">
        <f>'Working counts'!R96/'Working counts'!R$21</f>
        <v>0.13248344643789323</v>
      </c>
      <c r="S106" s="31">
        <f>'Working counts'!S96/'Working counts'!S$21</f>
        <v>0.12414953870266804</v>
      </c>
      <c r="T106" s="31">
        <f>'Working counts'!T96/'Working counts'!T$21</f>
        <v>0.11935745186921526</v>
      </c>
      <c r="U106" s="31">
        <f>'Working counts'!U96/'Working counts'!U$21</f>
        <v>0.11711358148979191</v>
      </c>
      <c r="V106" s="31">
        <f>'Working counts'!V96/'Working counts'!V$21</f>
        <v>0.11606046527063353</v>
      </c>
      <c r="W106" t="s">
        <v>333</v>
      </c>
      <c r="X106" s="59">
        <f>V106-B106</f>
        <v>-0.03255892829848976</v>
      </c>
    </row>
    <row r="107" spans="1:24" ht="12.75">
      <c r="A107" s="11">
        <v>2</v>
      </c>
      <c r="B107" s="31">
        <f>'Working counts'!B97/'Working counts'!B$21</f>
        <v>0.3387565909181464</v>
      </c>
      <c r="C107" s="31">
        <f>'Working counts'!C97/'Working counts'!C$21</f>
        <v>0.33697915293993624</v>
      </c>
      <c r="D107" s="31">
        <f>'Working counts'!D97/'Working counts'!D$21</f>
        <v>0.3385942516730494</v>
      </c>
      <c r="E107" s="31">
        <f>'Working counts'!E97/'Working counts'!E$21</f>
        <v>0.33580866407786575</v>
      </c>
      <c r="F107" s="31">
        <f>'Working counts'!F97/'Working counts'!F$21</f>
        <v>0.3306531542692899</v>
      </c>
      <c r="G107" s="31">
        <f>'Working counts'!G97/'Working counts'!G$21</f>
        <v>0.32844397764176114</v>
      </c>
      <c r="H107" s="31">
        <f>'Working counts'!H97/'Working counts'!H$21</f>
        <v>0.3242380535786064</v>
      </c>
      <c r="I107" s="31">
        <f>'Working counts'!I97/'Working counts'!I$21</f>
        <v>0.321828791965033</v>
      </c>
      <c r="J107" s="31">
        <f>'Working counts'!J97/'Working counts'!J$21</f>
        <v>0.3214150206450173</v>
      </c>
      <c r="K107" s="31">
        <f>'Working counts'!K97/'Working counts'!K$21</f>
        <v>0.32980638123806927</v>
      </c>
      <c r="L107" s="31">
        <f>'Working counts'!L97/'Working counts'!L$21</f>
        <v>0.32558476056600066</v>
      </c>
      <c r="M107" s="31">
        <f>'Working counts'!M97/'Working counts'!M$21</f>
        <v>0.3252517156739969</v>
      </c>
      <c r="N107" s="31">
        <f>'Working counts'!N97/'Working counts'!N$21</f>
        <v>0.321473049231368</v>
      </c>
      <c r="O107" s="31">
        <f>'Working counts'!O97/'Working counts'!O$21</f>
        <v>0.31992656875834447</v>
      </c>
      <c r="P107" s="31">
        <f>'Working counts'!P97/'Working counts'!P$21</f>
        <v>0.3156623712833987</v>
      </c>
      <c r="Q107" s="31">
        <f>'Working counts'!Q97/'Working counts'!Q$21</f>
        <v>0.30839356033194554</v>
      </c>
      <c r="R107" s="31">
        <f>'Working counts'!R97/'Working counts'!R$21</f>
        <v>0.30253409163758915</v>
      </c>
      <c r="S107" s="31">
        <f>'Working counts'!S97/'Working counts'!S$21</f>
        <v>0.29438428383143944</v>
      </c>
      <c r="T107" s="31">
        <f>'Working counts'!T97/'Working counts'!T$21</f>
        <v>0.2866991847498233</v>
      </c>
      <c r="U107" s="31">
        <f>'Working counts'!U97/'Working counts'!U$21</f>
        <v>0.28326692887186355</v>
      </c>
      <c r="V107" s="31">
        <f>'Working counts'!V97/'Working counts'!V$21</f>
        <v>0.2717286695649288</v>
      </c>
      <c r="W107" t="s">
        <v>333</v>
      </c>
      <c r="X107" s="59">
        <f>V107-B107</f>
        <v>-0.06702792135321761</v>
      </c>
    </row>
    <row r="108" spans="1:24" ht="12.75">
      <c r="A108" s="11">
        <v>3</v>
      </c>
      <c r="B108" s="31">
        <f>'Working counts'!B98/'Working counts'!B$21</f>
        <v>0.3635663341877731</v>
      </c>
      <c r="C108" s="31">
        <f>'Working counts'!C98/'Working counts'!C$21</f>
        <v>0.3672745961046833</v>
      </c>
      <c r="D108" s="31">
        <f>'Working counts'!D98/'Working counts'!D$21</f>
        <v>0.3681482341108661</v>
      </c>
      <c r="E108" s="31">
        <f>'Working counts'!E98/'Working counts'!E$21</f>
        <v>0.3690176004841394</v>
      </c>
      <c r="F108" s="31">
        <f>'Working counts'!F98/'Working counts'!F$21</f>
        <v>0.3724292581396501</v>
      </c>
      <c r="G108" s="31">
        <f>'Working counts'!G98/'Working counts'!G$21</f>
        <v>0.37149445269397463</v>
      </c>
      <c r="H108" s="31">
        <f>'Working counts'!H98/'Working counts'!H$21</f>
        <v>0.37781665996737046</v>
      </c>
      <c r="I108" s="31">
        <f>'Working counts'!I98/'Working counts'!I$21</f>
        <v>0.380196224309495</v>
      </c>
      <c r="J108" s="31">
        <f>'Working counts'!J98/'Working counts'!J$21</f>
        <v>0.3806941189599375</v>
      </c>
      <c r="K108" s="31">
        <f>'Working counts'!K98/'Working counts'!K$21</f>
        <v>0.3783910553586038</v>
      </c>
      <c r="L108" s="31">
        <f>'Working counts'!L98/'Working counts'!L$21</f>
        <v>0.37821579551209833</v>
      </c>
      <c r="M108" s="31">
        <f>'Working counts'!M98/'Working counts'!M$21</f>
        <v>0.3822070831037419</v>
      </c>
      <c r="N108" s="31">
        <f>'Working counts'!N98/'Working counts'!N$21</f>
        <v>0.387254329636116</v>
      </c>
      <c r="O108" s="31">
        <f>'Working counts'!O98/'Working counts'!O$21</f>
        <v>0.38682949815440193</v>
      </c>
      <c r="P108" s="31">
        <f>'Working counts'!P98/'Working counts'!P$21</f>
        <v>0.3918007766465099</v>
      </c>
      <c r="Q108" s="31">
        <f>'Working counts'!Q98/'Working counts'!Q$21</f>
        <v>0.3986823679783465</v>
      </c>
      <c r="R108" s="31">
        <f>'Working counts'!R98/'Working counts'!R$21</f>
        <v>0.39504171589233544</v>
      </c>
      <c r="S108" s="31">
        <f>'Working counts'!S98/'Working counts'!S$21</f>
        <v>0.4068321875111317</v>
      </c>
      <c r="T108" s="31">
        <f>'Working counts'!T98/'Working counts'!T$21</f>
        <v>0.41046036643168615</v>
      </c>
      <c r="U108" s="31">
        <f>'Working counts'!U98/'Working counts'!U$21</f>
        <v>0.40857939954441136</v>
      </c>
      <c r="V108" s="31">
        <f>'Working counts'!V98/'Working counts'!V$21</f>
        <v>0.4126621975906813</v>
      </c>
      <c r="W108" t="s">
        <v>333</v>
      </c>
      <c r="X108" s="59">
        <f>V108-B108</f>
        <v>0.04909586340290817</v>
      </c>
    </row>
    <row r="109" spans="1:24" ht="12.75">
      <c r="A109" s="2" t="s">
        <v>34</v>
      </c>
      <c r="B109" s="31">
        <f>'Working counts'!B99/'Working counts'!B$21</f>
        <v>0.12436747107964884</v>
      </c>
      <c r="C109" s="31">
        <f>'Working counts'!C99/'Working counts'!C$21</f>
        <v>0.1256885327991988</v>
      </c>
      <c r="D109" s="31">
        <f>'Working counts'!D99/'Working counts'!D$21</f>
        <v>0.12635230100705325</v>
      </c>
      <c r="E109" s="31">
        <f>'Working counts'!E99/'Working counts'!E$21</f>
        <v>0.1275026476372989</v>
      </c>
      <c r="F109" s="31">
        <f>'Working counts'!F99/'Working counts'!F$21</f>
        <v>0.13011051092720155</v>
      </c>
      <c r="G109" s="31">
        <f>'Working counts'!G99/'Working counts'!G$21</f>
        <v>0.1297671217992829</v>
      </c>
      <c r="H109" s="31">
        <f>'Working counts'!H99/'Working counts'!H$21</f>
        <v>0.13183032653157734</v>
      </c>
      <c r="I109" s="31">
        <f>'Working counts'!I99/'Working counts'!I$21</f>
        <v>0.13366037384915838</v>
      </c>
      <c r="J109" s="31">
        <f>'Working counts'!J99/'Working counts'!J$21</f>
        <v>0.13304318714429192</v>
      </c>
      <c r="K109" s="31">
        <f>'Working counts'!K99/'Working counts'!K$21</f>
        <v>0.12905372238887375</v>
      </c>
      <c r="L109" s="31">
        <f>'Working counts'!L99/'Working counts'!L$21</f>
        <v>0.1378722260695201</v>
      </c>
      <c r="M109" s="31">
        <f>'Working counts'!M99/'Working counts'!M$21</f>
        <v>0.13665280769423432</v>
      </c>
      <c r="N109" s="31">
        <f>'Working counts'!N99/'Working counts'!N$21</f>
        <v>0.13950184860867873</v>
      </c>
      <c r="O109" s="31">
        <f>'Working counts'!O99/'Working counts'!O$21</f>
        <v>0.14418243933087255</v>
      </c>
      <c r="P109" s="31">
        <f>'Working counts'!P99/'Working counts'!P$21</f>
        <v>0.14949479337725313</v>
      </c>
      <c r="Q109" s="31">
        <f>'Working counts'!Q99/'Working counts'!Q$21</f>
        <v>0.1513303196338449</v>
      </c>
      <c r="R109" s="31">
        <f>'Working counts'!R99/'Working counts'!R$21</f>
        <v>0.16454652856004615</v>
      </c>
      <c r="S109" s="31">
        <f>'Working counts'!S99/'Working counts'!S$21</f>
        <v>0.16446407580237238</v>
      </c>
      <c r="T109" s="31">
        <f>'Working counts'!T99/'Working counts'!T$21</f>
        <v>0.17394301866629897</v>
      </c>
      <c r="U109" s="31">
        <f>'Working counts'!U99/'Working counts'!U$21</f>
        <v>0.18168090025680184</v>
      </c>
      <c r="V109" s="31">
        <f>'Working counts'!V99/'Working counts'!V$21</f>
        <v>0.19009889489927986</v>
      </c>
      <c r="W109" t="s">
        <v>333</v>
      </c>
      <c r="X109" s="59">
        <f>V109-B109</f>
        <v>0.06573142381963103</v>
      </c>
    </row>
    <row r="110" spans="1:22" ht="12.75">
      <c r="A110" s="3" t="s">
        <v>86</v>
      </c>
      <c r="B110" s="30">
        <v>2.4643613267466478</v>
      </c>
      <c r="C110" s="30">
        <v>2.4778664163929296</v>
      </c>
      <c r="D110" s="30">
        <v>2.480159183518032</v>
      </c>
      <c r="E110" s="30">
        <v>2.4870471184531633</v>
      </c>
      <c r="F110" s="30">
        <v>2.506703037157779</v>
      </c>
      <c r="G110" s="30">
        <v>2.503834654881061</v>
      </c>
      <c r="H110" s="30">
        <v>2.524579135114838</v>
      </c>
      <c r="I110" s="30">
        <v>2.536201308628386</v>
      </c>
      <c r="J110" s="30">
        <v>2.5361581755291085</v>
      </c>
      <c r="K110" s="30">
        <v>2.5186802732854794</v>
      </c>
      <c r="L110" s="30">
        <v>2.5413888281591603</v>
      </c>
      <c r="M110" s="30">
        <v>2.5466579292267366</v>
      </c>
      <c r="N110" s="30">
        <v>2.5675091703934476</v>
      </c>
      <c r="O110" s="30">
        <v>2.5766800324840116</v>
      </c>
      <c r="P110" s="30">
        <v>2.600591715976331</v>
      </c>
      <c r="Q110" s="30">
        <v>2.6196812899271587</v>
      </c>
      <c r="R110" s="32">
        <v>2.6361075692593023</v>
      </c>
      <c r="S110" s="32">
        <v>2.6673890202258996</v>
      </c>
      <c r="T110" s="32">
        <v>2.697726175229377</v>
      </c>
      <c r="U110" s="32">
        <v>2.712946335351848</v>
      </c>
      <c r="V110" s="32">
        <v>2.74177205010153</v>
      </c>
    </row>
    <row r="111" spans="18:22" ht="12.75">
      <c r="R111" s="10"/>
      <c r="S111" s="10"/>
      <c r="T111" s="10"/>
      <c r="U111" s="10"/>
      <c r="V111" s="10"/>
    </row>
    <row r="112" spans="1:22" ht="12.75">
      <c r="A112" s="18" t="s">
        <v>348</v>
      </c>
      <c r="R112" s="10"/>
      <c r="S112" s="10"/>
      <c r="T112" s="10"/>
      <c r="U112" s="10"/>
      <c r="V112" s="10"/>
    </row>
    <row r="113" spans="1:24" ht="12.75">
      <c r="A113" s="23" t="s">
        <v>33</v>
      </c>
      <c r="B113" s="31">
        <f>'Working counts'!B103/'Working counts'!B$21</f>
        <v>0.05453362198345132</v>
      </c>
      <c r="C113" s="31">
        <f>'Working counts'!C103/'Working counts'!C$21</f>
        <v>0.04518620035316132</v>
      </c>
      <c r="D113" s="31">
        <f>'Working counts'!D103/'Working counts'!D$21</f>
        <v>0.038360862893762976</v>
      </c>
      <c r="E113" s="31">
        <f>'Working counts'!E103/'Working counts'!E$21</f>
        <v>0.0375208028644914</v>
      </c>
      <c r="F113" s="31">
        <f>'Working counts'!F103/'Working counts'!F$21</f>
        <v>0.03529659547053868</v>
      </c>
      <c r="G113" s="31">
        <f>'Working counts'!G103/'Working counts'!G$21</f>
        <v>0.034189272391438194</v>
      </c>
      <c r="H113" s="31">
        <f>'Working counts'!H103/'Working counts'!H$21</f>
        <v>0.03186106447875535</v>
      </c>
      <c r="I113" s="31">
        <f>'Working counts'!I103/'Working counts'!I$21</f>
        <v>0.03157258439505254</v>
      </c>
      <c r="J113" s="31">
        <f>'Working counts'!J103/'Working counts'!J$21</f>
        <v>0.03091172860171856</v>
      </c>
      <c r="K113" s="31">
        <f>'Working counts'!K103/'Working counts'!K$21</f>
        <v>0.028819198254704116</v>
      </c>
      <c r="L113" s="31">
        <f>'Working counts'!L103/'Working counts'!L$21</f>
        <v>0.013416159340148219</v>
      </c>
      <c r="M113" s="31">
        <f>'Working counts'!M103/'Working counts'!M$21</f>
        <v>0.011611481240294545</v>
      </c>
      <c r="N113" s="31">
        <f>'Working counts'!N103/'Working counts'!N$21</f>
        <v>0.009914380229616658</v>
      </c>
      <c r="O113" s="31">
        <f>'Working counts'!O103/'Working counts'!O$21</f>
        <v>0.008845126835781042</v>
      </c>
      <c r="P113" s="31">
        <f>'Working counts'!P103/'Working counts'!P$21</f>
        <v>0.00799829987828674</v>
      </c>
      <c r="Q113" s="31">
        <f>'Working counts'!Q103/'Working counts'!Q$21</f>
        <v>0.006888903508359727</v>
      </c>
      <c r="R113" s="31">
        <f>'Working counts'!R103/'Working counts'!R$21</f>
        <v>0.011539412588949638</v>
      </c>
      <c r="S113" s="31">
        <f>'Working counts'!S103/'Working counts'!S$21</f>
        <v>0.014132796637338367</v>
      </c>
      <c r="T113" s="31">
        <f>'Working counts'!T103/'Working counts'!T$21</f>
        <v>0.014055740360916252</v>
      </c>
      <c r="U113" s="31">
        <f>'Working counts'!U103/'Working counts'!U$21</f>
        <v>0.015032718772128896</v>
      </c>
      <c r="V113" s="31">
        <f>'Working counts'!V103/'Working counts'!V$21</f>
        <v>0.013415524508014469</v>
      </c>
      <c r="W113" t="s">
        <v>333</v>
      </c>
      <c r="X113" s="59">
        <f>V113-B113</f>
        <v>-0.04111809747543685</v>
      </c>
    </row>
    <row r="114" spans="1:24" ht="12.75">
      <c r="A114" s="23">
        <v>1</v>
      </c>
      <c r="B114" s="31">
        <f>'Working counts'!B104/'Working counts'!B$21</f>
        <v>0.6458103674976425</v>
      </c>
      <c r="C114" s="31">
        <f>'Working counts'!C104/'Working counts'!C$21</f>
        <v>0.6304983791476688</v>
      </c>
      <c r="D114" s="31">
        <f>'Working counts'!D104/'Working counts'!D$21</f>
        <v>0.6248501025105412</v>
      </c>
      <c r="E114" s="31">
        <f>'Working counts'!E104/'Working counts'!E$21</f>
        <v>0.6145796560593071</v>
      </c>
      <c r="F114" s="31">
        <f>'Working counts'!F104/'Working counts'!F$21</f>
        <v>0.606558798751177</v>
      </c>
      <c r="G114" s="31">
        <f>'Working counts'!G104/'Working counts'!G$21</f>
        <v>0.603998406432219</v>
      </c>
      <c r="H114" s="31">
        <f>'Working counts'!H104/'Working counts'!H$21</f>
        <v>0.5968600004728914</v>
      </c>
      <c r="I114" s="31">
        <f>'Working counts'!I104/'Working counts'!I$21</f>
        <v>0.5892076629777736</v>
      </c>
      <c r="J114" s="31">
        <f>'Working counts'!J104/'Working counts'!J$21</f>
        <v>0.5877134248409775</v>
      </c>
      <c r="K114" s="31">
        <f>'Working counts'!K104/'Working counts'!K$21</f>
        <v>0.5848595582219798</v>
      </c>
      <c r="L114" s="31">
        <f>'Working counts'!L104/'Working counts'!L$21</f>
        <v>0.5453493059359786</v>
      </c>
      <c r="M114" s="31">
        <f>'Working counts'!M104/'Working counts'!M$21</f>
        <v>0.5260431798827832</v>
      </c>
      <c r="N114" s="31">
        <f>'Working counts'!N104/'Working counts'!N$21</f>
        <v>0.5047674644872543</v>
      </c>
      <c r="O114" s="31">
        <f>'Working counts'!O104/'Working counts'!O$21</f>
        <v>0.4934226026859342</v>
      </c>
      <c r="P114" s="31">
        <f>'Working counts'!P104/'Working counts'!P$21</f>
        <v>0.47693243948146286</v>
      </c>
      <c r="Q114" s="31">
        <f>'Working counts'!Q104/'Working counts'!Q$21</f>
        <v>0.4604757384660207</v>
      </c>
      <c r="R114" s="31">
        <f>'Working counts'!R104/'Working counts'!R$21</f>
        <v>0.45847185207572055</v>
      </c>
      <c r="S114" s="31">
        <f>'Working counts'!S104/'Working counts'!S$21</f>
        <v>0.4256848217148149</v>
      </c>
      <c r="T114" s="31">
        <f>'Working counts'!T104/'Working counts'!T$21</f>
        <v>0.4048673710336269</v>
      </c>
      <c r="U114" s="31">
        <f>'Working counts'!U104/'Working counts'!U$21</f>
        <v>0.3973517843888372</v>
      </c>
      <c r="V114" s="31">
        <f>'Working counts'!V104/'Working counts'!V$21</f>
        <v>0.3785716656157701</v>
      </c>
      <c r="W114" t="s">
        <v>333</v>
      </c>
      <c r="X114" s="59">
        <f>V114-B114</f>
        <v>-0.26723870188187243</v>
      </c>
    </row>
    <row r="115" spans="1:24" ht="12.75">
      <c r="A115" s="24">
        <v>1.5</v>
      </c>
      <c r="B115" s="31">
        <f>'Working counts'!B105/'Working counts'!B$21</f>
        <v>0.11355637310241323</v>
      </c>
      <c r="C115" s="31">
        <f>'Working counts'!C105/'Working counts'!C$21</f>
        <v>0.12417310175790001</v>
      </c>
      <c r="D115" s="31">
        <f>'Working counts'!D105/'Working counts'!D$21</f>
        <v>0.13388263510115664</v>
      </c>
      <c r="E115" s="31">
        <f>'Working counts'!E105/'Working counts'!E$21</f>
        <v>0.1381184124262444</v>
      </c>
      <c r="F115" s="31">
        <f>'Working counts'!F105/'Working counts'!F$21</f>
        <v>0.13464492789533675</v>
      </c>
      <c r="G115" s="31">
        <f>'Working counts'!G105/'Working counts'!G$21</f>
        <v>0.13398041843226732</v>
      </c>
      <c r="H115" s="31">
        <f>'Working counts'!H105/'Working counts'!H$21</f>
        <v>0.1358380819520961</v>
      </c>
      <c r="I115" s="31">
        <f>'Working counts'!I105/'Working counts'!I$21</f>
        <v>0.13697340277131964</v>
      </c>
      <c r="J115" s="31">
        <f>'Working counts'!J105/'Working counts'!J$21</f>
        <v>0.13640218725588663</v>
      </c>
      <c r="K115" s="31">
        <f>'Working counts'!K105/'Working counts'!K$21</f>
        <v>0.1348786473956913</v>
      </c>
      <c r="L115" s="31">
        <f>'Working counts'!L105/'Working counts'!L$21</f>
        <v>0.1637743025767708</v>
      </c>
      <c r="M115" s="31">
        <f>'Working counts'!M105/'Working counts'!M$21</f>
        <v>0.16722937434253368</v>
      </c>
      <c r="N115" s="31">
        <f>'Working counts'!N105/'Working counts'!N$21</f>
        <v>0.15855224751897257</v>
      </c>
      <c r="O115" s="31">
        <f>'Working counts'!O105/'Working counts'!O$21</f>
        <v>0.15113288305976597</v>
      </c>
      <c r="P115" s="31">
        <f>'Working counts'!P105/'Working counts'!P$21</f>
        <v>0.15018063793203376</v>
      </c>
      <c r="Q115" s="31">
        <f>'Working counts'!Q105/'Working counts'!Q$21</f>
        <v>0.14708231910754396</v>
      </c>
      <c r="R115" s="31">
        <f>'Working counts'!R105/'Working counts'!R$21</f>
        <v>0.14589114487457758</v>
      </c>
      <c r="S115" s="31">
        <f>'Working counts'!S105/'Working counts'!S$21</f>
        <v>0.15141773234068323</v>
      </c>
      <c r="T115" s="31">
        <f>'Working counts'!T105/'Working counts'!T$21</f>
        <v>0.15133835467691617</v>
      </c>
      <c r="U115" s="31">
        <f>'Working counts'!U105/'Working counts'!U$21</f>
        <v>0.14769944800402693</v>
      </c>
      <c r="V115" s="31">
        <f>'Working counts'!V105/'Working counts'!V$21</f>
        <v>0.13987156937576742</v>
      </c>
      <c r="W115" t="s">
        <v>333</v>
      </c>
      <c r="X115" s="59">
        <f>V115-B115</f>
        <v>0.026315196273354186</v>
      </c>
    </row>
    <row r="116" spans="1:24" ht="12.75">
      <c r="A116" s="23" t="s">
        <v>91</v>
      </c>
      <c r="B116" s="31">
        <f>'Working counts'!B106/'Working counts'!B$21</f>
        <v>0.1860996374164929</v>
      </c>
      <c r="C116" s="31">
        <f>'Working counts'!C106/'Working counts'!C$21</f>
        <v>0.2001554964024985</v>
      </c>
      <c r="D116" s="31">
        <f>'Working counts'!D106/'Working counts'!D$21</f>
        <v>0.20290639949453923</v>
      </c>
      <c r="E116" s="31">
        <f>'Working counts'!E106/'Working counts'!E$21</f>
        <v>0.20979373644661858</v>
      </c>
      <c r="F116" s="31">
        <f>'Working counts'!F106/'Working counts'!F$21</f>
        <v>0.22348728876554835</v>
      </c>
      <c r="G116" s="31">
        <f>'Working counts'!G106/'Working counts'!G$21</f>
        <v>0.22783190274407542</v>
      </c>
      <c r="H116" s="31">
        <f>'Working counts'!H106/'Working counts'!H$21</f>
        <v>0.23544085309625706</v>
      </c>
      <c r="I116" s="31">
        <f>'Working counts'!I106/'Working counts'!I$21</f>
        <v>0.2422463498558542</v>
      </c>
      <c r="J116" s="31">
        <f>'Working counts'!J106/'Working counts'!J$21</f>
        <v>0.24497265930141726</v>
      </c>
      <c r="K116" s="31">
        <f>'Working counts'!K106/'Working counts'!K$21</f>
        <v>0.25142077992909734</v>
      </c>
      <c r="L116" s="31">
        <f>'Working counts'!L106/'Working counts'!L$21</f>
        <v>0.2774395600988124</v>
      </c>
      <c r="M116" s="31">
        <f>'Working counts'!M106/'Working counts'!M$21</f>
        <v>0.2951159645343886</v>
      </c>
      <c r="N116" s="31">
        <f>'Working counts'!N106/'Working counts'!N$21</f>
        <v>0.3267659077641564</v>
      </c>
      <c r="O116" s="31">
        <f>'Working counts'!O106/'Working counts'!O$21</f>
        <v>0.3466092044294353</v>
      </c>
      <c r="P116" s="31">
        <f>'Working counts'!P106/'Working counts'!P$21</f>
        <v>0.3648886227082166</v>
      </c>
      <c r="Q116" s="31">
        <f>'Working counts'!Q106/'Working counts'!Q$21</f>
        <v>0.38554364068682273</v>
      </c>
      <c r="R116" s="31">
        <f>'Working counts'!R106/'Working counts'!R$21</f>
        <v>0.3840884321967928</v>
      </c>
      <c r="S116" s="31">
        <f>'Working counts'!S106/'Working counts'!S$21</f>
        <v>0.40876464930716344</v>
      </c>
      <c r="T116" s="31">
        <f>'Working counts'!T106/'Working counts'!T$21</f>
        <v>0.42973853392854067</v>
      </c>
      <c r="U116" s="31">
        <f>'Working counts'!U106/'Working counts'!U$21</f>
        <v>0.43991604883500696</v>
      </c>
      <c r="V116" s="31">
        <f>'Working counts'!V106/'Working counts'!V$21</f>
        <v>0.46813294394849503</v>
      </c>
      <c r="W116" t="s">
        <v>333</v>
      </c>
      <c r="X116" s="59">
        <f>V116-B116</f>
        <v>0.2820333065320021</v>
      </c>
    </row>
    <row r="117" spans="18:22" ht="12.75">
      <c r="R117" s="10"/>
      <c r="S117" s="10"/>
      <c r="T117" s="10"/>
      <c r="U117" s="10"/>
      <c r="V117" s="10"/>
    </row>
    <row r="118" ht="12.75">
      <c r="A118" s="13" t="s">
        <v>349</v>
      </c>
    </row>
    <row r="119" spans="1:22" ht="12.75">
      <c r="A119" s="3" t="s">
        <v>85</v>
      </c>
      <c r="R119" s="10"/>
      <c r="S119" s="10"/>
      <c r="T119" s="10"/>
      <c r="U119" s="10"/>
      <c r="V119" s="10"/>
    </row>
    <row r="120" spans="1:24" ht="12.75">
      <c r="A120" s="3" t="s">
        <v>160</v>
      </c>
      <c r="B120" s="14" t="s">
        <v>242</v>
      </c>
      <c r="C120" s="14" t="s">
        <v>242</v>
      </c>
      <c r="D120" s="14" t="s">
        <v>242</v>
      </c>
      <c r="E120" s="14" t="s">
        <v>242</v>
      </c>
      <c r="F120" s="14" t="s">
        <v>242</v>
      </c>
      <c r="G120" s="14" t="s">
        <v>242</v>
      </c>
      <c r="H120" s="14" t="s">
        <v>242</v>
      </c>
      <c r="I120" s="14" t="s">
        <v>242</v>
      </c>
      <c r="J120" s="14" t="s">
        <v>242</v>
      </c>
      <c r="K120" s="14" t="s">
        <v>242</v>
      </c>
      <c r="L120" s="31">
        <f>'Working counts'!L110/(SUM('Working counts'!L$110:L$118))</f>
        <v>0.018887637331243778</v>
      </c>
      <c r="M120" s="31">
        <f>'Working counts'!M110/(SUM('Working counts'!M$110:M$118))</f>
        <v>0.016877154573823255</v>
      </c>
      <c r="N120" s="31">
        <f>'Working counts'!N110/(SUM('Working counts'!N$110:N$118))</f>
        <v>0.015743559811329685</v>
      </c>
      <c r="O120" s="31">
        <f>'Working counts'!O110/(SUM('Working counts'!O$110:O$118))</f>
        <v>0.015261109309114498</v>
      </c>
      <c r="P120" s="31">
        <f>'Working counts'!P110/(SUM('Working counts'!P$110:P$118))</f>
        <v>0.014412626405821756</v>
      </c>
      <c r="Q120" s="31">
        <f>'Working counts'!Q110/(SUM('Working counts'!Q$110:Q$118))</f>
        <v>0.013634255680939867</v>
      </c>
      <c r="R120" s="31">
        <f>'Working counts'!R110/(SUM('Working counts'!R$110:R$118))</f>
        <v>0.015520197311035582</v>
      </c>
      <c r="S120" s="31">
        <f>'Working counts'!S110/(SUM('Working counts'!S$110:S$118))</f>
        <v>0.014755605856971069</v>
      </c>
      <c r="T120" s="31">
        <f>'Working counts'!T110/(SUM('Working counts'!T$110:T$118))</f>
        <v>0.011762029652625381</v>
      </c>
      <c r="U120" s="31">
        <f>'Working counts'!U110/(SUM('Working counts'!U$110:U$118))</f>
        <v>0.011747624076029566</v>
      </c>
      <c r="V120" s="31">
        <f>'Working counts'!V110/(SUM('Working counts'!V$110:V$118))</f>
        <v>0.01054481546572935</v>
      </c>
      <c r="W120" t="s">
        <v>333</v>
      </c>
      <c r="X120" s="59">
        <f>V120-L120</f>
        <v>-0.008342821865514428</v>
      </c>
    </row>
    <row r="121" spans="1:24" ht="12.75">
      <c r="A121" s="3" t="s">
        <v>161</v>
      </c>
      <c r="B121" s="14" t="s">
        <v>242</v>
      </c>
      <c r="C121" s="14" t="s">
        <v>242</v>
      </c>
      <c r="D121" s="14" t="s">
        <v>242</v>
      </c>
      <c r="E121" s="14" t="s">
        <v>242</v>
      </c>
      <c r="F121" s="14" t="s">
        <v>242</v>
      </c>
      <c r="G121" s="14" t="s">
        <v>242</v>
      </c>
      <c r="H121" s="14" t="s">
        <v>242</v>
      </c>
      <c r="I121" s="14" t="s">
        <v>242</v>
      </c>
      <c r="J121" s="14" t="s">
        <v>242</v>
      </c>
      <c r="K121" s="14" t="s">
        <v>242</v>
      </c>
      <c r="L121" s="31">
        <f>'Working counts'!L111/(SUM('Working counts'!L$110:L$118))</f>
        <v>0.05819743049773903</v>
      </c>
      <c r="M121" s="31">
        <f>'Working counts'!M111/(SUM('Working counts'!M$110:M$118))</f>
        <v>0.0556799058931168</v>
      </c>
      <c r="N121" s="31">
        <f>'Working counts'!N111/(SUM('Working counts'!N$110:N$118))</f>
        <v>0.05063810320076983</v>
      </c>
      <c r="O121" s="31">
        <f>'Working counts'!O111/(SUM('Working counts'!O$110:O$118))</f>
        <v>0.04901070385987674</v>
      </c>
      <c r="P121" s="31">
        <f>'Working counts'!P111/(SUM('Working counts'!P$110:P$118))</f>
        <v>0.04514381123397285</v>
      </c>
      <c r="Q121" s="31">
        <f>'Working counts'!Q111/(SUM('Working counts'!Q$110:Q$118))</f>
        <v>0.04345339310558046</v>
      </c>
      <c r="R121" s="31">
        <f>'Working counts'!R111/(SUM('Working counts'!R$110:R$118))</f>
        <v>0.042229374078864255</v>
      </c>
      <c r="S121" s="31">
        <f>'Working counts'!S111/(SUM('Working counts'!S$110:S$118))</f>
        <v>0.037744924665770674</v>
      </c>
      <c r="T121" s="31">
        <f>'Working counts'!T111/(SUM('Working counts'!T$110:T$118))</f>
        <v>0.033319060108119684</v>
      </c>
      <c r="U121" s="31">
        <f>'Working counts'!U111/(SUM('Working counts'!U$110:U$118))</f>
        <v>0.03384371700105596</v>
      </c>
      <c r="V121" s="31">
        <f>'Working counts'!V111/(SUM('Working counts'!V$110:V$118))</f>
        <v>0.028196477364565826</v>
      </c>
      <c r="W121" t="s">
        <v>333</v>
      </c>
      <c r="X121" s="59">
        <f aca="true" t="shared" si="11" ref="X121:X128">V121-L121</f>
        <v>-0.030000953133173205</v>
      </c>
    </row>
    <row r="122" spans="1:24" ht="12.75">
      <c r="A122" s="3" t="s">
        <v>162</v>
      </c>
      <c r="B122" s="14" t="s">
        <v>242</v>
      </c>
      <c r="C122" s="14" t="s">
        <v>242</v>
      </c>
      <c r="D122" s="14" t="s">
        <v>242</v>
      </c>
      <c r="E122" s="14" t="s">
        <v>242</v>
      </c>
      <c r="F122" s="14" t="s">
        <v>242</v>
      </c>
      <c r="G122" s="14" t="s">
        <v>242</v>
      </c>
      <c r="H122" s="14" t="s">
        <v>242</v>
      </c>
      <c r="I122" s="14" t="s">
        <v>242</v>
      </c>
      <c r="J122" s="14" t="s">
        <v>242</v>
      </c>
      <c r="K122" s="14" t="s">
        <v>242</v>
      </c>
      <c r="L122" s="31">
        <f>'Working counts'!L112/(SUM('Working counts'!L$110:L$118))</f>
        <v>0.11197087679775372</v>
      </c>
      <c r="M122" s="31">
        <f>'Working counts'!M112/(SUM('Working counts'!M$110:M$118))</f>
        <v>0.11090234777067982</v>
      </c>
      <c r="N122" s="31">
        <f>'Working counts'!N112/(SUM('Working counts'!N$110:N$118))</f>
        <v>0.10492025681879132</v>
      </c>
      <c r="O122" s="31">
        <f>'Working counts'!O112/(SUM('Working counts'!O$110:O$118))</f>
        <v>0.10462212131041193</v>
      </c>
      <c r="P122" s="31">
        <f>'Working counts'!P112/(SUM('Working counts'!P$110:P$118))</f>
        <v>0.09940774343949847</v>
      </c>
      <c r="Q122" s="31">
        <f>'Working counts'!Q112/(SUM('Working counts'!Q$110:Q$118))</f>
        <v>0.09712474880197866</v>
      </c>
      <c r="R122" s="31">
        <f>'Working counts'!R112/(SUM('Working counts'!R$110:R$118))</f>
        <v>0.09342196288386923</v>
      </c>
      <c r="S122" s="31">
        <f>'Working counts'!S112/(SUM('Working counts'!S$110:S$118))</f>
        <v>0.0866096059984438</v>
      </c>
      <c r="T122" s="31">
        <f>'Working counts'!T112/(SUM('Working counts'!T$110:T$118))</f>
        <v>0.08550553979553605</v>
      </c>
      <c r="U122" s="31">
        <f>'Working counts'!U112/(SUM('Working counts'!U$110:U$118))</f>
        <v>0.0815337909186906</v>
      </c>
      <c r="V122" s="31">
        <f>'Working counts'!V112/(SUM('Working counts'!V$110:V$118))</f>
        <v>0.07373673880415121</v>
      </c>
      <c r="W122" t="s">
        <v>333</v>
      </c>
      <c r="X122" s="59">
        <f t="shared" si="11"/>
        <v>-0.03823413799360251</v>
      </c>
    </row>
    <row r="123" spans="1:24" ht="12.75">
      <c r="A123" s="21" t="s">
        <v>163</v>
      </c>
      <c r="B123" s="14" t="s">
        <v>242</v>
      </c>
      <c r="C123" s="14" t="s">
        <v>242</v>
      </c>
      <c r="D123" s="14" t="s">
        <v>242</v>
      </c>
      <c r="E123" s="14" t="s">
        <v>242</v>
      </c>
      <c r="F123" s="14" t="s">
        <v>242</v>
      </c>
      <c r="G123" s="14" t="s">
        <v>242</v>
      </c>
      <c r="H123" s="14" t="s">
        <v>242</v>
      </c>
      <c r="I123" s="14" t="s">
        <v>242</v>
      </c>
      <c r="J123" s="14" t="s">
        <v>242</v>
      </c>
      <c r="K123" s="14" t="s">
        <v>242</v>
      </c>
      <c r="L123" s="31">
        <f>'Working counts'!L113/(SUM('Working counts'!L$110:L$118))</f>
        <v>0.2637739360399628</v>
      </c>
      <c r="M123" s="31">
        <f>'Working counts'!M113/(SUM('Working counts'!M$110:M$118))</f>
        <v>0.26158772689398274</v>
      </c>
      <c r="N123" s="31">
        <f>'Working counts'!N113/(SUM('Working counts'!N$110:N$118))</f>
        <v>0.2589168809452446</v>
      </c>
      <c r="O123" s="31">
        <f>'Working counts'!O113/(SUM('Working counts'!O$110:O$118))</f>
        <v>0.25528705806033086</v>
      </c>
      <c r="P123" s="31">
        <f>'Working counts'!P113/(SUM('Working counts'!P$110:P$118))</f>
        <v>0.252323346879627</v>
      </c>
      <c r="Q123" s="31">
        <f>'Working counts'!Q113/(SUM('Working counts'!Q$110:Q$118))</f>
        <v>0.2525119802133251</v>
      </c>
      <c r="R123" s="31">
        <f>'Working counts'!R113/(SUM('Working counts'!R$110:R$118))</f>
        <v>0.24907510452070863</v>
      </c>
      <c r="S123" s="31">
        <f>'Working counts'!S113/(SUM('Working counts'!S$110:S$118))</f>
        <v>0.26281389262219707</v>
      </c>
      <c r="T123" s="31">
        <f>'Working counts'!T113/(SUM('Working counts'!T$110:T$118))</f>
        <v>0.26510731681207517</v>
      </c>
      <c r="U123" s="31">
        <f>'Working counts'!U113/(SUM('Working counts'!U$110:U$118))</f>
        <v>0.26156282998944036</v>
      </c>
      <c r="V123" s="31">
        <f>'Working counts'!V113/(SUM('Working counts'!V$110:V$118))</f>
        <v>0.25260092619912</v>
      </c>
      <c r="W123" t="s">
        <v>333</v>
      </c>
      <c r="X123" s="59">
        <f t="shared" si="11"/>
        <v>-0.011173009840842796</v>
      </c>
    </row>
    <row r="124" spans="1:24" ht="12.75">
      <c r="A124" s="20" t="s">
        <v>164</v>
      </c>
      <c r="B124" s="14" t="s">
        <v>242</v>
      </c>
      <c r="C124" s="14" t="s">
        <v>242</v>
      </c>
      <c r="D124" s="14" t="s">
        <v>242</v>
      </c>
      <c r="E124" s="14" t="s">
        <v>242</v>
      </c>
      <c r="F124" s="14" t="s">
        <v>242</v>
      </c>
      <c r="G124" s="14" t="s">
        <v>242</v>
      </c>
      <c r="H124" s="14" t="s">
        <v>242</v>
      </c>
      <c r="I124" s="14" t="s">
        <v>242</v>
      </c>
      <c r="J124" s="14" t="s">
        <v>242</v>
      </c>
      <c r="K124" s="14" t="s">
        <v>242</v>
      </c>
      <c r="L124" s="31">
        <f>'Working counts'!L114/(SUM('Working counts'!L$110:L$118))</f>
        <v>0.21354294203111482</v>
      </c>
      <c r="M124" s="31">
        <f>'Working counts'!M114/(SUM('Working counts'!M$110:M$118))</f>
        <v>0.21731174538859935</v>
      </c>
      <c r="N124" s="31">
        <f>'Working counts'!N114/(SUM('Working counts'!N$110:N$118))</f>
        <v>0.21760186777302773</v>
      </c>
      <c r="O124" s="31">
        <f>'Working counts'!O114/(SUM('Working counts'!O$110:O$118))</f>
        <v>0.2206130392474862</v>
      </c>
      <c r="P124" s="31">
        <f>'Working counts'!P114/(SUM('Working counts'!P$110:P$118))</f>
        <v>0.22089909586365497</v>
      </c>
      <c r="Q124" s="31">
        <f>'Working counts'!Q114/(SUM('Working counts'!Q$110:Q$118))</f>
        <v>0.22219817591590663</v>
      </c>
      <c r="R124" s="31">
        <f>'Working counts'!R114/(SUM('Working counts'!R$110:R$118))</f>
        <v>0.22274190152494963</v>
      </c>
      <c r="S124" s="31">
        <f>'Working counts'!S114/(SUM('Working counts'!S$110:S$118))</f>
        <v>0.239499186531796</v>
      </c>
      <c r="T124" s="31">
        <f>'Working counts'!T114/(SUM('Working counts'!T$110:T$118))</f>
        <v>0.24520954878766793</v>
      </c>
      <c r="U124" s="31">
        <f>'Working counts'!U114/(SUM('Working counts'!U$110:U$118))</f>
        <v>0.2442581837381204</v>
      </c>
      <c r="V124" s="31">
        <f>'Working counts'!V114/(SUM('Working counts'!V$110:V$118))</f>
        <v>0.24593024001642014</v>
      </c>
      <c r="W124" t="s">
        <v>333</v>
      </c>
      <c r="X124" s="59">
        <f t="shared" si="11"/>
        <v>0.03238729798530532</v>
      </c>
    </row>
    <row r="125" spans="1:24" ht="12.75">
      <c r="A125" s="20" t="s">
        <v>165</v>
      </c>
      <c r="B125" s="14" t="s">
        <v>242</v>
      </c>
      <c r="C125" s="14" t="s">
        <v>242</v>
      </c>
      <c r="D125" s="14" t="s">
        <v>242</v>
      </c>
      <c r="E125" s="14" t="s">
        <v>242</v>
      </c>
      <c r="F125" s="14" t="s">
        <v>242</v>
      </c>
      <c r="G125" s="14" t="s">
        <v>242</v>
      </c>
      <c r="H125" s="14" t="s">
        <v>242</v>
      </c>
      <c r="I125" s="14" t="s">
        <v>242</v>
      </c>
      <c r="J125" s="14" t="s">
        <v>242</v>
      </c>
      <c r="K125" s="14" t="s">
        <v>242</v>
      </c>
      <c r="L125" s="31">
        <f>'Working counts'!L115/(SUM('Working counts'!L$110:L$118))</f>
        <v>0.14958290481087877</v>
      </c>
      <c r="M125" s="31">
        <f>'Working counts'!M115/(SUM('Working counts'!M$110:M$118))</f>
        <v>0.1492476350744196</v>
      </c>
      <c r="N125" s="31">
        <f>'Working counts'!N115/(SUM('Working counts'!N$110:N$118))</f>
        <v>0.15473805429792872</v>
      </c>
      <c r="O125" s="31">
        <f>'Working counts'!O115/(SUM('Working counts'!O$110:O$118))</f>
        <v>0.15407071034706454</v>
      </c>
      <c r="P125" s="31">
        <f>'Working counts'!P115/(SUM('Working counts'!P$110:P$118))</f>
        <v>0.15827111489147214</v>
      </c>
      <c r="Q125" s="31">
        <f>'Working counts'!Q115/(SUM('Working counts'!Q$110:Q$118))</f>
        <v>0.15883444118101717</v>
      </c>
      <c r="R125" s="31">
        <f>'Working counts'!R115/(SUM('Working counts'!R$110:R$118))</f>
        <v>0.15891659397840407</v>
      </c>
      <c r="S125" s="31">
        <f>'Working counts'!S115/(SUM('Working counts'!S$110:S$118))</f>
        <v>0.15868996250972625</v>
      </c>
      <c r="T125" s="31">
        <f>'Working counts'!T115/(SUM('Working counts'!T$110:T$118))</f>
        <v>0.16278167317882566</v>
      </c>
      <c r="U125" s="31">
        <f>'Working counts'!U115/(SUM('Working counts'!U$110:U$118))</f>
        <v>0.16374076029567053</v>
      </c>
      <c r="V125" s="31">
        <f>'Working counts'!V115/(SUM('Working counts'!V$110:V$118))</f>
        <v>0.16965350916577937</v>
      </c>
      <c r="W125" t="s">
        <v>333</v>
      </c>
      <c r="X125" s="59">
        <f t="shared" si="11"/>
        <v>0.0200706043549006</v>
      </c>
    </row>
    <row r="126" spans="1:24" ht="12.75">
      <c r="A126" s="20" t="s">
        <v>166</v>
      </c>
      <c r="B126" s="14" t="s">
        <v>242</v>
      </c>
      <c r="C126" s="14" t="s">
        <v>242</v>
      </c>
      <c r="D126" s="14" t="s">
        <v>242</v>
      </c>
      <c r="E126" s="14" t="s">
        <v>242</v>
      </c>
      <c r="F126" s="14" t="s">
        <v>242</v>
      </c>
      <c r="G126" s="14" t="s">
        <v>242</v>
      </c>
      <c r="H126" s="14" t="s">
        <v>242</v>
      </c>
      <c r="I126" s="14" t="s">
        <v>242</v>
      </c>
      <c r="J126" s="14" t="s">
        <v>242</v>
      </c>
      <c r="K126" s="14" t="s">
        <v>242</v>
      </c>
      <c r="L126" s="31">
        <f>'Working counts'!L116/(SUM('Working counts'!L$110:L$118))</f>
        <v>0.07873385898754429</v>
      </c>
      <c r="M126" s="31">
        <f>'Working counts'!M116/(SUM('Working counts'!M$110:M$118))</f>
        <v>0.07954972470469064</v>
      </c>
      <c r="N126" s="31">
        <f>'Working counts'!N116/(SUM('Working counts'!N$110:N$118))</f>
        <v>0.08330835607578363</v>
      </c>
      <c r="O126" s="31">
        <f>'Working counts'!O116/(SUM('Working counts'!O$110:O$118))</f>
        <v>0.08300356795329225</v>
      </c>
      <c r="P126" s="31">
        <f>'Working counts'!P116/(SUM('Working counts'!P$110:P$118))</f>
        <v>0.08743660019531865</v>
      </c>
      <c r="Q126" s="31">
        <f>'Working counts'!Q116/(SUM('Working counts'!Q$110:Q$118))</f>
        <v>0.08811253671355697</v>
      </c>
      <c r="R126" s="31">
        <f>'Working counts'!R116/(SUM('Working counts'!R$110:R$118))</f>
        <v>0.08869973230667429</v>
      </c>
      <c r="S126" s="31">
        <f>'Working counts'!S116/(SUM('Working counts'!S$110:S$118))</f>
        <v>0.0809082549338615</v>
      </c>
      <c r="T126" s="31">
        <f>'Working counts'!T116/(SUM('Working counts'!T$110:T$118))</f>
        <v>0.08316383878392121</v>
      </c>
      <c r="U126" s="31">
        <f>'Working counts'!U116/(SUM('Working counts'!U$110:U$118))</f>
        <v>0.0837909186906019</v>
      </c>
      <c r="V126" s="31">
        <f>'Working counts'!V116/(SUM('Working counts'!V$110:V$118))</f>
        <v>0.08811719882493298</v>
      </c>
      <c r="W126" t="s">
        <v>333</v>
      </c>
      <c r="X126" s="59">
        <f t="shared" si="11"/>
        <v>0.00938333983738869</v>
      </c>
    </row>
    <row r="127" spans="1:24" ht="12.75">
      <c r="A127" s="20" t="s">
        <v>167</v>
      </c>
      <c r="B127" s="14" t="s">
        <v>242</v>
      </c>
      <c r="C127" s="14" t="s">
        <v>242</v>
      </c>
      <c r="D127" s="14" t="s">
        <v>242</v>
      </c>
      <c r="E127" s="14" t="s">
        <v>242</v>
      </c>
      <c r="F127" s="14" t="s">
        <v>242</v>
      </c>
      <c r="G127" s="14" t="s">
        <v>242</v>
      </c>
      <c r="H127" s="14" t="s">
        <v>242</v>
      </c>
      <c r="I127" s="14" t="s">
        <v>242</v>
      </c>
      <c r="J127" s="14" t="s">
        <v>242</v>
      </c>
      <c r="K127" s="14" t="s">
        <v>242</v>
      </c>
      <c r="L127" s="31">
        <f>'Working counts'!L117/(SUM('Working counts'!L$110:L$118))</f>
        <v>0.06835137208808789</v>
      </c>
      <c r="M127" s="31">
        <f>'Working counts'!M117/(SUM('Working counts'!M$110:M$118))</f>
        <v>0.06904439034750927</v>
      </c>
      <c r="N127" s="31">
        <f>'Working counts'!N117/(SUM('Working counts'!N$110:N$118))</f>
        <v>0.07403259137732486</v>
      </c>
      <c r="O127" s="31">
        <f>'Working counts'!O117/(SUM('Working counts'!O$110:O$118))</f>
        <v>0.07460265974699967</v>
      </c>
      <c r="P127" s="31">
        <f>'Working counts'!P117/(SUM('Working counts'!P$110:P$118))</f>
        <v>0.07781243108716883</v>
      </c>
      <c r="Q127" s="31">
        <f>'Working counts'!Q117/(SUM('Working counts'!Q$110:Q$118))</f>
        <v>0.07919307466378112</v>
      </c>
      <c r="R127" s="31">
        <f>'Working counts'!R117/(SUM('Working counts'!R$110:R$118))</f>
        <v>0.08157126958823352</v>
      </c>
      <c r="S127" s="31">
        <f>'Working counts'!S117/(SUM('Working counts'!S$110:S$118))</f>
        <v>0.0721935346961873</v>
      </c>
      <c r="T127" s="31">
        <f>'Working counts'!T117/(SUM('Working counts'!T$110:T$118))</f>
        <v>0.07311459615693411</v>
      </c>
      <c r="U127" s="31">
        <f>'Working counts'!U117/(SUM('Working counts'!U$110:U$118))</f>
        <v>0.07531678986272439</v>
      </c>
      <c r="V127" s="31">
        <f>'Working counts'!V117/(SUM('Working counts'!V$110:V$118))</f>
        <v>0.0812669172450066</v>
      </c>
      <c r="W127" t="s">
        <v>333</v>
      </c>
      <c r="X127" s="59">
        <f t="shared" si="11"/>
        <v>0.012915545156918715</v>
      </c>
    </row>
    <row r="128" spans="1:24" ht="12.75">
      <c r="A128" s="13" t="s">
        <v>168</v>
      </c>
      <c r="B128" s="14" t="s">
        <v>242</v>
      </c>
      <c r="C128" s="14" t="s">
        <v>242</v>
      </c>
      <c r="D128" s="14" t="s">
        <v>242</v>
      </c>
      <c r="E128" s="14" t="s">
        <v>242</v>
      </c>
      <c r="F128" s="14" t="s">
        <v>242</v>
      </c>
      <c r="G128" s="14" t="s">
        <v>242</v>
      </c>
      <c r="H128" s="14" t="s">
        <v>242</v>
      </c>
      <c r="I128" s="14" t="s">
        <v>242</v>
      </c>
      <c r="J128" s="14" t="s">
        <v>242</v>
      </c>
      <c r="K128" s="14" t="s">
        <v>242</v>
      </c>
      <c r="L128" s="31">
        <f>'Working counts'!L118/(SUM('Working counts'!L$110:L$118))</f>
        <v>0.036959041415674944</v>
      </c>
      <c r="M128" s="31">
        <f>'Working counts'!M118/(SUM('Working counts'!M$110:M$118))</f>
        <v>0.03979936935317856</v>
      </c>
      <c r="N128" s="31">
        <f>'Working counts'!N118/(SUM('Working counts'!N$110:N$118))</f>
        <v>0.04010032969979965</v>
      </c>
      <c r="O128" s="31">
        <f>'Working counts'!O118/(SUM('Working counts'!O$110:O$118))</f>
        <v>0.04352903016542329</v>
      </c>
      <c r="P128" s="31">
        <f>'Working counts'!P118/(SUM('Working counts'!P$110:P$118))</f>
        <v>0.04429323000346533</v>
      </c>
      <c r="Q128" s="31">
        <f>'Working counts'!Q118/(SUM('Working counts'!Q$110:Q$118))</f>
        <v>0.04493739372391405</v>
      </c>
      <c r="R128" s="31">
        <f>'Working counts'!R118/(SUM('Working counts'!R$110:R$118))</f>
        <v>0.04782386380726081</v>
      </c>
      <c r="S128" s="31">
        <f>'Working counts'!S118/(SUM('Working counts'!S$110:S$118))</f>
        <v>0.04678503218504633</v>
      </c>
      <c r="T128" s="31">
        <f>'Working counts'!T118/(SUM('Working counts'!T$110:T$118))</f>
        <v>0.040036396724294813</v>
      </c>
      <c r="U128" s="31">
        <f>'Working counts'!U118/(SUM('Working counts'!U$110:U$118))</f>
        <v>0.04420538542766631</v>
      </c>
      <c r="V128" s="31">
        <f>'Working counts'!V118/(SUM('Working counts'!V$110:V$118))</f>
        <v>0.04995317691429451</v>
      </c>
      <c r="W128" t="s">
        <v>333</v>
      </c>
      <c r="X128" s="59">
        <f t="shared" si="11"/>
        <v>0.012994135498619566</v>
      </c>
    </row>
    <row r="129" spans="1:24" ht="12.75">
      <c r="A129" s="13" t="s">
        <v>136</v>
      </c>
      <c r="B129" s="14" t="s">
        <v>242</v>
      </c>
      <c r="C129" s="14" t="s">
        <v>242</v>
      </c>
      <c r="D129" s="14" t="s">
        <v>242</v>
      </c>
      <c r="E129" s="14" t="s">
        <v>242</v>
      </c>
      <c r="F129" s="14" t="s">
        <v>242</v>
      </c>
      <c r="G129" s="14" t="s">
        <v>242</v>
      </c>
      <c r="H129" s="14" t="s">
        <v>242</v>
      </c>
      <c r="I129" s="14" t="s">
        <v>242</v>
      </c>
      <c r="J129" s="14" t="s">
        <v>242</v>
      </c>
      <c r="K129" s="14" t="s">
        <v>242</v>
      </c>
      <c r="L129" s="63" t="s">
        <v>336</v>
      </c>
      <c r="M129" s="63" t="s">
        <v>336</v>
      </c>
      <c r="N129" s="63" t="s">
        <v>337</v>
      </c>
      <c r="O129" s="31"/>
      <c r="P129" s="31"/>
      <c r="Q129" s="31"/>
      <c r="R129" s="31"/>
      <c r="S129" s="31"/>
      <c r="T129" s="31"/>
      <c r="U129" s="31"/>
      <c r="V129" s="63" t="s">
        <v>336</v>
      </c>
      <c r="W129" t="s">
        <v>336</v>
      </c>
      <c r="X129" s="59" t="s">
        <v>336</v>
      </c>
    </row>
    <row r="130" spans="1:22" ht="12.75">
      <c r="A130" s="13" t="s">
        <v>86</v>
      </c>
      <c r="B130" s="14" t="s">
        <v>242</v>
      </c>
      <c r="C130" s="14" t="s">
        <v>242</v>
      </c>
      <c r="D130" s="14" t="s">
        <v>242</v>
      </c>
      <c r="E130" s="14" t="s">
        <v>242</v>
      </c>
      <c r="F130" s="14" t="s">
        <v>242</v>
      </c>
      <c r="G130" s="14" t="s">
        <v>242</v>
      </c>
      <c r="H130" s="14" t="s">
        <v>242</v>
      </c>
      <c r="I130" s="14" t="s">
        <v>242</v>
      </c>
      <c r="J130" s="14" t="s">
        <v>242</v>
      </c>
      <c r="K130" s="14" t="s">
        <v>242</v>
      </c>
      <c r="L130" s="9">
        <v>1610</v>
      </c>
      <c r="M130" s="9">
        <v>1626</v>
      </c>
      <c r="N130" s="9">
        <v>1660</v>
      </c>
      <c r="O130" s="9">
        <v>1672</v>
      </c>
      <c r="P130" s="9">
        <v>1701</v>
      </c>
      <c r="Q130" s="9">
        <v>1710</v>
      </c>
      <c r="R130" s="9">
        <v>1724</v>
      </c>
      <c r="S130" s="9">
        <v>1705</v>
      </c>
      <c r="T130" s="9">
        <v>1713</v>
      </c>
      <c r="U130" s="9">
        <v>1728</v>
      </c>
      <c r="V130" s="9">
        <v>1774</v>
      </c>
    </row>
    <row r="131" ht="12.75">
      <c r="A131" s="13"/>
    </row>
    <row r="132" spans="1:22" ht="12.75">
      <c r="A132" s="13" t="s">
        <v>350</v>
      </c>
      <c r="R132" s="10"/>
      <c r="S132" s="10"/>
      <c r="T132" s="10"/>
      <c r="U132" s="10"/>
      <c r="V132" s="10"/>
    </row>
    <row r="133" spans="1:24" ht="12.75">
      <c r="A133" s="13" t="s">
        <v>169</v>
      </c>
      <c r="B133" s="14" t="s">
        <v>242</v>
      </c>
      <c r="C133" s="14" t="s">
        <v>242</v>
      </c>
      <c r="D133" s="14" t="s">
        <v>242</v>
      </c>
      <c r="E133" s="14" t="s">
        <v>242</v>
      </c>
      <c r="F133" s="14" t="s">
        <v>242</v>
      </c>
      <c r="G133" s="14" t="s">
        <v>242</v>
      </c>
      <c r="H133" s="14" t="s">
        <v>242</v>
      </c>
      <c r="I133" s="14" t="s">
        <v>242</v>
      </c>
      <c r="J133" s="14" t="s">
        <v>242</v>
      </c>
      <c r="K133" s="14" t="s">
        <v>242</v>
      </c>
      <c r="L133" s="31">
        <f>'Working counts'!L123/SUM('Working counts'!L$123:L$129)</f>
        <v>0.14350364391505369</v>
      </c>
      <c r="M133" s="31">
        <f>'Working counts'!M123/SUM('Working counts'!M$123:M$129)</f>
        <v>0.14034812300084382</v>
      </c>
      <c r="N133" s="31">
        <f>'Working counts'!N123/SUM('Working counts'!N$123:N$129)</f>
        <v>0.1310544727636182</v>
      </c>
      <c r="O133" s="31">
        <f>'Working counts'!O123/SUM('Working counts'!O$123:O$129)</f>
        <v>0.12929430011632415</v>
      </c>
      <c r="P133" s="31">
        <f>'Working counts'!P123/SUM('Working counts'!P$123:P$129)</f>
        <v>0.13072930580467884</v>
      </c>
      <c r="Q133" s="31">
        <f>'Working counts'!Q123/SUM('Working counts'!Q$123:Q$129)</f>
        <v>0.12296074794655362</v>
      </c>
      <c r="R133" s="31">
        <f>'Working counts'!R123/SUM('Working counts'!R$123:R$129)</f>
        <v>0.14765135295483273</v>
      </c>
      <c r="S133" s="31">
        <f>'Working counts'!S123/SUM('Working counts'!S$123:S$129)</f>
        <v>0.13879545676123622</v>
      </c>
      <c r="T133" s="31">
        <f>'Working counts'!T123/SUM('Working counts'!T$123:T$129)</f>
        <v>0.14180324041649156</v>
      </c>
      <c r="U133" s="31">
        <f>'Working counts'!U123/SUM('Working counts'!U$123:U$129)</f>
        <v>0.13948318007216856</v>
      </c>
      <c r="V133" s="31">
        <f>'Working counts'!V123/SUM('Working counts'!V$123:V$129)</f>
        <v>0.13466563657433706</v>
      </c>
      <c r="W133" t="s">
        <v>333</v>
      </c>
      <c r="X133" s="59">
        <f aca="true" t="shared" si="12" ref="X133:X139">V133-L133</f>
        <v>-0.00883800734071663</v>
      </c>
    </row>
    <row r="134" spans="1:24" ht="12.75">
      <c r="A134" s="13" t="s">
        <v>170</v>
      </c>
      <c r="B134" s="14" t="s">
        <v>242</v>
      </c>
      <c r="C134" s="14" t="s">
        <v>242</v>
      </c>
      <c r="D134" s="14" t="s">
        <v>242</v>
      </c>
      <c r="E134" s="14" t="s">
        <v>242</v>
      </c>
      <c r="F134" s="14" t="s">
        <v>242</v>
      </c>
      <c r="G134" s="14" t="s">
        <v>242</v>
      </c>
      <c r="H134" s="14" t="s">
        <v>242</v>
      </c>
      <c r="I134" s="14" t="s">
        <v>242</v>
      </c>
      <c r="J134" s="14" t="s">
        <v>242</v>
      </c>
      <c r="K134" s="14" t="s">
        <v>242</v>
      </c>
      <c r="L134" s="31">
        <f>'Working counts'!L124/SUM('Working counts'!L$123:L$129)</f>
        <v>0.2756249510226471</v>
      </c>
      <c r="M134" s="31">
        <f>'Working counts'!M124/SUM('Working counts'!M$123:M$129)</f>
        <v>0.2563825820757864</v>
      </c>
      <c r="N134" s="31">
        <f>'Working counts'!N124/SUM('Working counts'!N$123:N$129)</f>
        <v>0.2494952523738131</v>
      </c>
      <c r="O134" s="31">
        <f>'Working counts'!O124/SUM('Working counts'!O$123:O$129)</f>
        <v>0.24492051182628927</v>
      </c>
      <c r="P134" s="31">
        <f>'Working counts'!P124/SUM('Working counts'!P$123:P$129)</f>
        <v>0.23611800175552417</v>
      </c>
      <c r="Q134" s="31">
        <f>'Working counts'!Q124/SUM('Working counts'!Q$123:Q$129)</f>
        <v>0.2369317536621371</v>
      </c>
      <c r="R134" s="31">
        <f>'Working counts'!R124/SUM('Working counts'!R$123:R$129)</f>
        <v>0.2767689013851988</v>
      </c>
      <c r="S134" s="31">
        <f>'Working counts'!S124/SUM('Working counts'!S$123:S$129)</f>
        <v>0.3076070000974944</v>
      </c>
      <c r="T134" s="31">
        <f>'Working counts'!T124/SUM('Working counts'!T$123:T$129)</f>
        <v>0.27788672549843585</v>
      </c>
      <c r="U134" s="31">
        <f>'Working counts'!U124/SUM('Working counts'!U$123:U$129)</f>
        <v>0.28240018624141544</v>
      </c>
      <c r="V134" s="31">
        <f>'Working counts'!V124/SUM('Working counts'!V$123:V$129)</f>
        <v>0.2808516439819128</v>
      </c>
      <c r="W134" t="s">
        <v>333</v>
      </c>
      <c r="X134" s="59">
        <f t="shared" si="12"/>
        <v>0.0052266929592657</v>
      </c>
    </row>
    <row r="135" spans="1:24" ht="12.75">
      <c r="A135" s="13" t="s">
        <v>171</v>
      </c>
      <c r="B135" s="14" t="s">
        <v>242</v>
      </c>
      <c r="C135" s="14" t="s">
        <v>242</v>
      </c>
      <c r="D135" s="14" t="s">
        <v>242</v>
      </c>
      <c r="E135" s="14" t="s">
        <v>242</v>
      </c>
      <c r="F135" s="14" t="s">
        <v>242</v>
      </c>
      <c r="G135" s="14" t="s">
        <v>242</v>
      </c>
      <c r="H135" s="14" t="s">
        <v>242</v>
      </c>
      <c r="I135" s="14" t="s">
        <v>242</v>
      </c>
      <c r="J135" s="14" t="s">
        <v>242</v>
      </c>
      <c r="K135" s="14" t="s">
        <v>242</v>
      </c>
      <c r="L135" s="31">
        <f>'Working counts'!L125/SUM('Working counts'!L$123:L$129)</f>
        <v>0.18282266280072096</v>
      </c>
      <c r="M135" s="31">
        <f>'Working counts'!M125/SUM('Working counts'!M$123:M$129)</f>
        <v>0.18416766420063188</v>
      </c>
      <c r="N135" s="31">
        <f>'Working counts'!N125/SUM('Working counts'!N$123:N$129)</f>
        <v>0.18762618690654673</v>
      </c>
      <c r="O135" s="31">
        <f>'Working counts'!O125/SUM('Working counts'!O$123:O$129)</f>
        <v>0.18557580457541684</v>
      </c>
      <c r="P135" s="31">
        <f>'Working counts'!P125/SUM('Working counts'!P$123:P$129)</f>
        <v>0.1913902988207457</v>
      </c>
      <c r="Q135" s="31">
        <f>'Working counts'!Q125/SUM('Working counts'!Q$123:Q$129)</f>
        <v>0.19389454559218744</v>
      </c>
      <c r="R135" s="31">
        <f>'Working counts'!R125/SUM('Working counts'!R$123:R$129)</f>
        <v>0.19470167926329093</v>
      </c>
      <c r="S135" s="31">
        <f>'Working counts'!S125/SUM('Working counts'!S$123:S$129)</f>
        <v>0.1563566344935166</v>
      </c>
      <c r="T135" s="31">
        <f>'Working counts'!T125/SUM('Working counts'!T$123:T$129)</f>
        <v>0.19600084045384508</v>
      </c>
      <c r="U135" s="31">
        <f>'Working counts'!U125/SUM('Working counts'!U$123:U$129)</f>
        <v>0.1899895239203818</v>
      </c>
      <c r="V135" s="31">
        <f>'Working counts'!V125/SUM('Working counts'!V$123:V$129)</f>
        <v>0.19741416528437364</v>
      </c>
      <c r="W135" t="s">
        <v>333</v>
      </c>
      <c r="X135" s="59">
        <f t="shared" si="12"/>
        <v>0.01459150248365268</v>
      </c>
    </row>
    <row r="136" spans="1:24" ht="12.75">
      <c r="A136" s="13" t="s">
        <v>87</v>
      </c>
      <c r="B136" s="14" t="s">
        <v>242</v>
      </c>
      <c r="C136" s="14" t="s">
        <v>242</v>
      </c>
      <c r="D136" s="14" t="s">
        <v>242</v>
      </c>
      <c r="E136" s="14" t="s">
        <v>242</v>
      </c>
      <c r="F136" s="14" t="s">
        <v>242</v>
      </c>
      <c r="G136" s="14" t="s">
        <v>242</v>
      </c>
      <c r="H136" s="14" t="s">
        <v>242</v>
      </c>
      <c r="I136" s="14" t="s">
        <v>242</v>
      </c>
      <c r="J136" s="14" t="s">
        <v>242</v>
      </c>
      <c r="K136" s="14" t="s">
        <v>242</v>
      </c>
      <c r="L136" s="31">
        <f>'Working counts'!L126/SUM('Working counts'!L$123:L$129)</f>
        <v>0.11825092077423399</v>
      </c>
      <c r="M136" s="31">
        <f>'Working counts'!M126/SUM('Working counts'!M$123:M$129)</f>
        <v>0.12356992876626308</v>
      </c>
      <c r="N136" s="31">
        <f>'Working counts'!N126/SUM('Working counts'!N$123:N$129)</f>
        <v>0.1278360819590205</v>
      </c>
      <c r="O136" s="31">
        <f>'Working counts'!O126/SUM('Working counts'!O$123:O$129)</f>
        <v>0.13695230709577355</v>
      </c>
      <c r="P136" s="31">
        <f>'Working counts'!P126/SUM('Working counts'!P$123:P$129)</f>
        <v>0.13580506048925695</v>
      </c>
      <c r="Q136" s="31">
        <f>'Working counts'!Q126/SUM('Working counts'!Q$123:Q$129)</f>
        <v>0.14203792724932812</v>
      </c>
      <c r="R136" s="31">
        <f>'Working counts'!R126/SUM('Working counts'!R$123:R$129)</f>
        <v>0.12345551628962778</v>
      </c>
      <c r="S136" s="31">
        <f>'Working counts'!S126/SUM('Working counts'!S$123:S$129)</f>
        <v>0.1366993272886809</v>
      </c>
      <c r="T136" s="31">
        <f>'Working counts'!T126/SUM('Working counts'!T$123:T$129)</f>
        <v>0.1300719054956343</v>
      </c>
      <c r="U136" s="31">
        <f>'Working counts'!U126/SUM('Working counts'!U$123:U$129)</f>
        <v>0.12929810266558026</v>
      </c>
      <c r="V136" s="31">
        <f>'Working counts'!V126/SUM('Working counts'!V$123:V$129)</f>
        <v>0.13008702765343452</v>
      </c>
      <c r="W136" t="s">
        <v>333</v>
      </c>
      <c r="X136" s="59">
        <f t="shared" si="12"/>
        <v>0.01183610687920053</v>
      </c>
    </row>
    <row r="137" spans="1:24" ht="12.75">
      <c r="A137" s="13" t="s">
        <v>88</v>
      </c>
      <c r="B137" s="14" t="s">
        <v>242</v>
      </c>
      <c r="C137" s="14" t="s">
        <v>242</v>
      </c>
      <c r="D137" s="14" t="s">
        <v>242</v>
      </c>
      <c r="E137" s="14" t="s">
        <v>242</v>
      </c>
      <c r="F137" s="14" t="s">
        <v>242</v>
      </c>
      <c r="G137" s="14" t="s">
        <v>242</v>
      </c>
      <c r="H137" s="14" t="s">
        <v>242</v>
      </c>
      <c r="I137" s="14" t="s">
        <v>242</v>
      </c>
      <c r="J137" s="14" t="s">
        <v>242</v>
      </c>
      <c r="K137" s="14" t="s">
        <v>242</v>
      </c>
      <c r="L137" s="31">
        <f>'Working counts'!L127/SUM('Working counts'!L$123:L$129)</f>
        <v>0.17451610375362434</v>
      </c>
      <c r="M137" s="31">
        <f>'Working counts'!M127/SUM('Working counts'!M$123:M$129)</f>
        <v>0.18750367942856022</v>
      </c>
      <c r="N137" s="31">
        <f>'Working counts'!N127/SUM('Working counts'!N$123:N$129)</f>
        <v>0.19438280859570214</v>
      </c>
      <c r="O137" s="31">
        <f>'Working counts'!O127/SUM('Working counts'!O$123:O$129)</f>
        <v>0.1957735556417216</v>
      </c>
      <c r="P137" s="31">
        <f>'Working counts'!P127/SUM('Working counts'!P$123:P$129)</f>
        <v>0.2038888676869061</v>
      </c>
      <c r="Q137" s="31">
        <f>'Working counts'!Q127/SUM('Working counts'!Q$123:Q$129)</f>
        <v>0.2007646012339604</v>
      </c>
      <c r="R137" s="31">
        <f>'Working counts'!R127/SUM('Working counts'!R$123:R$129)</f>
        <v>0.17848943689220212</v>
      </c>
      <c r="S137" s="31">
        <f>'Working counts'!S127/SUM('Working counts'!S$123:S$129)</f>
        <v>0.17867066393682363</v>
      </c>
      <c r="T137" s="31">
        <f>'Working counts'!T127/SUM('Working counts'!T$123:T$129)</f>
        <v>0.17716066676005043</v>
      </c>
      <c r="U137" s="31">
        <f>'Working counts'!U127/SUM('Working counts'!U$123:U$129)</f>
        <v>0.1809800954487254</v>
      </c>
      <c r="V137" s="31">
        <f>'Working counts'!V127/SUM('Working counts'!V$123:V$129)</f>
        <v>0.1799404667227158</v>
      </c>
      <c r="W137" t="s">
        <v>333</v>
      </c>
      <c r="X137" s="59">
        <f t="shared" si="12"/>
        <v>0.005424362969091462</v>
      </c>
    </row>
    <row r="138" spans="1:24" ht="12.75">
      <c r="A138" s="13" t="s">
        <v>89</v>
      </c>
      <c r="B138" s="14" t="s">
        <v>242</v>
      </c>
      <c r="C138" s="14" t="s">
        <v>242</v>
      </c>
      <c r="D138" s="14" t="s">
        <v>242</v>
      </c>
      <c r="E138" s="14" t="s">
        <v>242</v>
      </c>
      <c r="F138" s="14" t="s">
        <v>242</v>
      </c>
      <c r="G138" s="14" t="s">
        <v>242</v>
      </c>
      <c r="H138" s="14" t="s">
        <v>242</v>
      </c>
      <c r="I138" s="14" t="s">
        <v>242</v>
      </c>
      <c r="J138" s="14" t="s">
        <v>242</v>
      </c>
      <c r="K138" s="14" t="s">
        <v>242</v>
      </c>
      <c r="L138" s="31">
        <f>'Working counts'!L128/SUM('Working counts'!L$123:L$129)</f>
        <v>0.028485228430373793</v>
      </c>
      <c r="M138" s="31">
        <f>'Working counts'!M128/SUM('Working counts'!M$123:M$129)</f>
        <v>0.03145666123746541</v>
      </c>
      <c r="N138" s="31">
        <f>'Working counts'!N128/SUM('Working counts'!N$123:N$129)</f>
        <v>0.030924537731134433</v>
      </c>
      <c r="O138" s="31">
        <f>'Working counts'!O128/SUM('Working counts'!O$123:O$129)</f>
        <v>0.0332299340829779</v>
      </c>
      <c r="P138" s="31">
        <f>'Working counts'!P128/SUM('Working counts'!P$123:P$129)</f>
        <v>0.031809334808991334</v>
      </c>
      <c r="Q138" s="31">
        <f>'Working counts'!Q128/SUM('Working counts'!Q$123:Q$129)</f>
        <v>0.0330822514099701</v>
      </c>
      <c r="R138" s="31">
        <f>'Working counts'!R128/SUM('Working counts'!R$123:R$129)</f>
        <v>0.026904325844145795</v>
      </c>
      <c r="S138" s="31">
        <f>'Working counts'!S128/SUM('Working counts'!S$123:S$129)</f>
        <v>0.031697864872769814</v>
      </c>
      <c r="T138" s="31">
        <f>'Working counts'!T128/SUM('Working counts'!T$123:T$129)</f>
        <v>0.028610449642807116</v>
      </c>
      <c r="U138" s="31">
        <f>'Working counts'!U128/SUM('Working counts'!U$123:U$129)</f>
        <v>0.028879059480852055</v>
      </c>
      <c r="V138" s="31">
        <f>'Working counts'!V128/SUM('Working counts'!V$123:V$129)</f>
        <v>0.028789565770637824</v>
      </c>
      <c r="W138" t="s">
        <v>333</v>
      </c>
      <c r="X138" s="59">
        <f t="shared" si="12"/>
        <v>0.0003043373402640305</v>
      </c>
    </row>
    <row r="139" spans="1:24" ht="12.75">
      <c r="A139" s="13" t="s">
        <v>90</v>
      </c>
      <c r="B139" s="14" t="s">
        <v>242</v>
      </c>
      <c r="C139" s="14" t="s">
        <v>242</v>
      </c>
      <c r="D139" s="14" t="s">
        <v>242</v>
      </c>
      <c r="E139" s="14" t="s">
        <v>242</v>
      </c>
      <c r="F139" s="14" t="s">
        <v>242</v>
      </c>
      <c r="G139" s="14" t="s">
        <v>242</v>
      </c>
      <c r="H139" s="14" t="s">
        <v>242</v>
      </c>
      <c r="I139" s="14" t="s">
        <v>242</v>
      </c>
      <c r="J139" s="14" t="s">
        <v>242</v>
      </c>
      <c r="K139" s="14" t="s">
        <v>242</v>
      </c>
      <c r="L139" s="31">
        <f>'Working counts'!L129/SUM('Working counts'!L$123:L$129)</f>
        <v>0.07679648930334614</v>
      </c>
      <c r="M139" s="31">
        <f>'Working counts'!M129/SUM('Working counts'!M$123:M$129)</f>
        <v>0.07657136129044918</v>
      </c>
      <c r="N139" s="31">
        <f>'Working counts'!N129/SUM('Working counts'!N$123:N$129)</f>
        <v>0.07868065967016492</v>
      </c>
      <c r="O139" s="31">
        <f>'Working counts'!O129/SUM('Working counts'!O$123:O$129)</f>
        <v>0.0742535866614967</v>
      </c>
      <c r="P139" s="31">
        <f>'Working counts'!P129/SUM('Working counts'!P$123:P$129)</f>
        <v>0.07025913063389688</v>
      </c>
      <c r="Q139" s="31">
        <f>'Working counts'!Q129/SUM('Working counts'!Q$123:Q$129)</f>
        <v>0.0703281729058632</v>
      </c>
      <c r="R139" s="31">
        <f>'Working counts'!R129/SUM('Working counts'!R$123:R$129)</f>
        <v>0.052028787370701886</v>
      </c>
      <c r="S139" s="31">
        <f>'Working counts'!S129/SUM('Working counts'!S$123:S$129)</f>
        <v>0.0501730525494784</v>
      </c>
      <c r="T139" s="31">
        <f>'Working counts'!T129/SUM('Working counts'!T$123:T$129)</f>
        <v>0.04846617173273568</v>
      </c>
      <c r="U139" s="31">
        <f>'Working counts'!U129/SUM('Working counts'!U$123:U$129)</f>
        <v>0.0489698521708765</v>
      </c>
      <c r="V139" s="31">
        <f>'Working counts'!V129/SUM('Working counts'!V$123:V$129)</f>
        <v>0.04825149401258833</v>
      </c>
      <c r="W139" t="s">
        <v>333</v>
      </c>
      <c r="X139" s="59">
        <f t="shared" si="12"/>
        <v>-0.028544995290757803</v>
      </c>
    </row>
    <row r="140" spans="1:22" ht="12.75">
      <c r="A140" s="13" t="s">
        <v>136</v>
      </c>
      <c r="B140" s="14" t="s">
        <v>242</v>
      </c>
      <c r="C140" s="14" t="s">
        <v>242</v>
      </c>
      <c r="D140" s="14" t="s">
        <v>242</v>
      </c>
      <c r="E140" s="14" t="s">
        <v>242</v>
      </c>
      <c r="F140" s="14" t="s">
        <v>242</v>
      </c>
      <c r="G140" s="14" t="s">
        <v>242</v>
      </c>
      <c r="H140" s="14" t="s">
        <v>242</v>
      </c>
      <c r="I140" s="14" t="s">
        <v>242</v>
      </c>
      <c r="J140" s="14" t="s">
        <v>242</v>
      </c>
      <c r="K140" s="14" t="s">
        <v>242</v>
      </c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63" t="s">
        <v>336</v>
      </c>
    </row>
    <row r="141" spans="1:22" ht="12.75">
      <c r="A141" s="13" t="s">
        <v>86</v>
      </c>
      <c r="B141" s="14" t="s">
        <v>242</v>
      </c>
      <c r="C141" s="14" t="s">
        <v>242</v>
      </c>
      <c r="D141" s="14" t="s">
        <v>242</v>
      </c>
      <c r="E141" s="14" t="s">
        <v>242</v>
      </c>
      <c r="F141" s="14" t="s">
        <v>242</v>
      </c>
      <c r="G141" s="14" t="s">
        <v>242</v>
      </c>
      <c r="H141" s="14" t="s">
        <v>242</v>
      </c>
      <c r="I141" s="14" t="s">
        <v>242</v>
      </c>
      <c r="J141" s="14" t="s">
        <v>242</v>
      </c>
      <c r="K141" s="14" t="s">
        <v>242</v>
      </c>
      <c r="L141" s="22">
        <v>0.36</v>
      </c>
      <c r="M141" s="22">
        <v>0.39</v>
      </c>
      <c r="N141" s="22">
        <v>0.41</v>
      </c>
      <c r="O141" s="22">
        <v>0.42</v>
      </c>
      <c r="P141" s="22">
        <v>0.42</v>
      </c>
      <c r="Q141" s="22">
        <v>0.43</v>
      </c>
      <c r="R141" s="22">
        <v>0.35</v>
      </c>
      <c r="S141" s="22">
        <v>0.34</v>
      </c>
      <c r="T141" s="22">
        <v>0.35</v>
      </c>
      <c r="U141" s="22">
        <v>0.35</v>
      </c>
      <c r="V141" s="22">
        <v>0.36</v>
      </c>
    </row>
    <row r="142" spans="13:17" ht="12.75">
      <c r="M142" s="36"/>
      <c r="N142" s="36"/>
      <c r="O142" s="36"/>
      <c r="P142" s="36"/>
      <c r="Q142" s="36"/>
    </row>
    <row r="143" ht="12.75">
      <c r="A143" s="25" t="s">
        <v>92</v>
      </c>
    </row>
    <row r="145" spans="1:22" ht="12.75">
      <c r="A145" s="4" t="s">
        <v>75</v>
      </c>
      <c r="R145" s="10"/>
      <c r="S145" s="10"/>
      <c r="T145" s="10"/>
      <c r="U145" s="10"/>
      <c r="V145" s="10"/>
    </row>
    <row r="146" spans="1:25" ht="12.75">
      <c r="A146" s="4" t="s">
        <v>93</v>
      </c>
      <c r="B146" s="37">
        <v>133</v>
      </c>
      <c r="C146" s="37">
        <v>143</v>
      </c>
      <c r="D146" s="37">
        <v>156</v>
      </c>
      <c r="E146" s="37">
        <v>167</v>
      </c>
      <c r="F146" s="37">
        <v>184</v>
      </c>
      <c r="G146" s="37">
        <v>200</v>
      </c>
      <c r="H146" s="37">
        <v>217</v>
      </c>
      <c r="I146" s="37">
        <v>241</v>
      </c>
      <c r="J146" s="37">
        <v>270</v>
      </c>
      <c r="K146" s="37">
        <v>315</v>
      </c>
      <c r="L146" s="37">
        <v>364</v>
      </c>
      <c r="M146" s="37">
        <v>399</v>
      </c>
      <c r="N146" s="37">
        <v>424</v>
      </c>
      <c r="O146" s="37">
        <v>462</v>
      </c>
      <c r="P146" s="37">
        <v>487</v>
      </c>
      <c r="Q146" s="37">
        <v>523</v>
      </c>
      <c r="R146" s="37">
        <v>549</v>
      </c>
      <c r="S146" s="37">
        <v>580</v>
      </c>
      <c r="T146" s="37">
        <v>633</v>
      </c>
      <c r="U146" s="37">
        <v>651</v>
      </c>
      <c r="V146" s="37">
        <v>694</v>
      </c>
      <c r="X146">
        <f>(V146/B146)^(1/32)-1</f>
        <v>0.052984842550087397</v>
      </c>
      <c r="Y146">
        <f>(V146/N146)^(1/16)-1</f>
        <v>0.031275263782156726</v>
      </c>
    </row>
    <row r="147" spans="1:22" ht="12.75">
      <c r="A147" s="4"/>
      <c r="C147" s="31">
        <f aca="true" t="shared" si="13" ref="C147:J147">C146/B146-1</f>
        <v>0.07518796992481214</v>
      </c>
      <c r="D147" s="31">
        <f t="shared" si="13"/>
        <v>0.09090909090909083</v>
      </c>
      <c r="E147" s="31">
        <f t="shared" si="13"/>
        <v>0.07051282051282048</v>
      </c>
      <c r="F147" s="31">
        <f t="shared" si="13"/>
        <v>0.10179640718562877</v>
      </c>
      <c r="G147" s="31">
        <f t="shared" si="13"/>
        <v>0.08695652173913038</v>
      </c>
      <c r="H147" s="31">
        <f t="shared" si="13"/>
        <v>0.08499999999999996</v>
      </c>
      <c r="I147" s="31">
        <f t="shared" si="13"/>
        <v>0.11059907834101379</v>
      </c>
      <c r="J147" s="31">
        <f t="shared" si="13"/>
        <v>0.1203319502074689</v>
      </c>
      <c r="K147" s="31">
        <f>(K146/J146)^0.5-1</f>
        <v>0.08012344973464347</v>
      </c>
      <c r="L147" s="31">
        <f aca="true" t="shared" si="14" ref="L147:V147">(L146/K146)^0.5-1</f>
        <v>0.07496769977313988</v>
      </c>
      <c r="M147" s="31">
        <f t="shared" si="14"/>
        <v>0.046973660678169216</v>
      </c>
      <c r="N147" s="31">
        <f t="shared" si="14"/>
        <v>0.03085238594282247</v>
      </c>
      <c r="O147" s="31">
        <f t="shared" si="14"/>
        <v>0.04384991330623489</v>
      </c>
      <c r="P147" s="31">
        <f t="shared" si="14"/>
        <v>0.026699836423749623</v>
      </c>
      <c r="Q147" s="31">
        <f t="shared" si="14"/>
        <v>0.036302065641368175</v>
      </c>
      <c r="R147" s="31">
        <f t="shared" si="14"/>
        <v>0.024555119608815845</v>
      </c>
      <c r="S147" s="31">
        <f t="shared" si="14"/>
        <v>0.027845466190293378</v>
      </c>
      <c r="T147" s="31">
        <f t="shared" si="14"/>
        <v>0.04469101190008695</v>
      </c>
      <c r="U147" s="31">
        <f t="shared" si="14"/>
        <v>0.014118345636911389</v>
      </c>
      <c r="V147" s="31">
        <f t="shared" si="14"/>
        <v>0.03249805198002664</v>
      </c>
    </row>
    <row r="148" spans="1:22" ht="12.75">
      <c r="A148" s="4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ht="12.75">
      <c r="A149" s="4" t="s">
        <v>172</v>
      </c>
      <c r="B149" s="31"/>
      <c r="G149" s="31">
        <f>'Working counts'!G136/'Working counts'!G$156</f>
        <v>0.10625976302053568</v>
      </c>
      <c r="H149" s="31">
        <f>'Working counts'!H136/'Working counts'!H$156</f>
        <v>0.0888512241054614</v>
      </c>
      <c r="I149" s="31">
        <f>'Working counts'!I136/'Working counts'!I$156</f>
        <v>0.07404926694946788</v>
      </c>
      <c r="J149" s="31">
        <f>'Working counts'!J136/'Working counts'!J$156</f>
        <v>0.06233332148063862</v>
      </c>
      <c r="K149" s="31">
        <f>'Working counts'!K136/'Working counts'!K$156</f>
        <v>0.04097350585335798</v>
      </c>
      <c r="L149" s="31">
        <f>'Working counts'!L136/'Working counts'!L$156</f>
        <v>0.030390334572490706</v>
      </c>
      <c r="M149" s="31">
        <f>'Working counts'!M136/'Working counts'!M$156</f>
        <v>0.023713482459357046</v>
      </c>
      <c r="N149" s="31">
        <f>'Working counts'!N136/'Working counts'!N$156</f>
        <v>0.023750999496549886</v>
      </c>
      <c r="O149" s="31">
        <f>'Working counts'!O136/'Working counts'!O$156</f>
        <v>0.018440226679859676</v>
      </c>
      <c r="P149" s="31">
        <f>'Working counts'!P136/'Working counts'!P$156</f>
        <v>0.016461520076481835</v>
      </c>
      <c r="Q149" s="31">
        <f>'Working counts'!Q136/'Working counts'!Q$156</f>
        <v>0.014289897510980967</v>
      </c>
      <c r="R149" s="31">
        <f>'Working counts'!R136/'Working counts'!R$156</f>
        <v>0.017323529411764706</v>
      </c>
      <c r="S149" s="31">
        <f>'Working counts'!S136/'Working counts'!S$156</f>
        <v>0.01179168994618755</v>
      </c>
      <c r="T149" s="31">
        <f>'Working counts'!T136/'Working counts'!T$156</f>
        <v>0.013325097070243559</v>
      </c>
      <c r="U149" s="31">
        <f>'Working counts'!U136/'Working counts'!U$156</f>
        <v>0.008867991905725509</v>
      </c>
      <c r="V149" s="31">
        <f>'Working counts'!V136/'Working counts'!V$156</f>
        <v>0.00901591043017089</v>
      </c>
    </row>
    <row r="150" spans="1:22" ht="12.75">
      <c r="A150" s="4" t="s">
        <v>173</v>
      </c>
      <c r="G150" s="31">
        <f>'Working counts'!G137/'Working counts'!G$156</f>
        <v>0.36823255991160897</v>
      </c>
      <c r="H150" s="31">
        <f>'Working counts'!H137/'Working counts'!H$156</f>
        <v>0.3152919020715631</v>
      </c>
      <c r="I150" s="31">
        <f>'Working counts'!I137/'Working counts'!I$156</f>
        <v>0.2457765870357967</v>
      </c>
      <c r="J150" s="31">
        <f>'Working counts'!J137/'Working counts'!J$156</f>
        <v>0.19062688902321942</v>
      </c>
      <c r="K150" s="31">
        <f>'Working counts'!K137/'Working counts'!K$156</f>
        <v>0.13935099609776136</v>
      </c>
      <c r="L150" s="31">
        <f>'Working counts'!L137/'Working counts'!L$156</f>
        <v>0.10650557620817844</v>
      </c>
      <c r="M150" s="31">
        <f>'Working counts'!M137/'Working counts'!M$156</f>
        <v>0.08525852585258525</v>
      </c>
      <c r="N150" s="31">
        <f>'Working counts'!N137/'Working counts'!N$156</f>
        <v>0.08232890099801582</v>
      </c>
      <c r="O150" s="31">
        <f>'Working counts'!O137/'Working counts'!O$156</f>
        <v>0.0675242121675512</v>
      </c>
      <c r="P150" s="31">
        <f>'Working counts'!P137/'Working counts'!P$156</f>
        <v>0.062111615678776294</v>
      </c>
      <c r="Q150" s="31">
        <f>'Working counts'!Q137/'Working counts'!Q$156</f>
        <v>0.052298682284041</v>
      </c>
      <c r="R150" s="31">
        <f>'Working counts'!R137/'Working counts'!R$156</f>
        <v>0.0531764705882353</v>
      </c>
      <c r="S150" s="31">
        <f>'Working counts'!S137/'Working counts'!S$156</f>
        <v>0.04437321727879554</v>
      </c>
      <c r="T150" s="31">
        <f>'Working counts'!T137/'Working counts'!T$156</f>
        <v>0.03741616660783621</v>
      </c>
      <c r="U150" s="31">
        <f>'Working counts'!U137/'Working counts'!U$156</f>
        <v>0.03817997857397929</v>
      </c>
      <c r="V150" s="31">
        <f>'Working counts'!V137/'Working counts'!V$156</f>
        <v>0.036181496758986444</v>
      </c>
    </row>
    <row r="151" spans="1:22" ht="12.75">
      <c r="A151" s="4" t="s">
        <v>174</v>
      </c>
      <c r="B151" s="1"/>
      <c r="C151" s="1"/>
      <c r="G151" s="31">
        <f>'Working counts'!G138/'Working counts'!G$156</f>
        <v>0.20970015620832858</v>
      </c>
      <c r="H151" s="31">
        <f>'Working counts'!H138/'Working counts'!H$156</f>
        <v>0.2016195856873823</v>
      </c>
      <c r="I151" s="31">
        <f>'Working counts'!I138/'Working counts'!I$156</f>
        <v>0.18549527424276252</v>
      </c>
      <c r="J151" s="31">
        <f>'Working counts'!J138/'Working counts'!J$156</f>
        <v>0.1575934288660527</v>
      </c>
      <c r="K151" s="31">
        <f>'Working counts'!K138/'Working counts'!K$156</f>
        <v>0.11929212021633463</v>
      </c>
      <c r="L151" s="31">
        <f>'Working counts'!L138/'Working counts'!L$156</f>
        <v>0.08265179677819083</v>
      </c>
      <c r="M151" s="31">
        <f>'Working counts'!M138/'Working counts'!M$156</f>
        <v>0.06756508984231757</v>
      </c>
      <c r="N151" s="31">
        <f>'Working counts'!N138/'Working counts'!N$156</f>
        <v>0.05866674563923357</v>
      </c>
      <c r="O151" s="31">
        <f>'Working counts'!O138/'Working counts'!O$156</f>
        <v>0.0425774339600012</v>
      </c>
      <c r="P151" s="31">
        <f>'Working counts'!P138/'Working counts'!P$156</f>
        <v>0.04254302103250478</v>
      </c>
      <c r="Q151" s="31">
        <f>'Working counts'!Q138/'Working counts'!Q$156</f>
        <v>0.034641288433382135</v>
      </c>
      <c r="R151" s="31">
        <f>'Working counts'!R138/'Working counts'!R$156</f>
        <v>0.028941176470588234</v>
      </c>
      <c r="S151" s="31">
        <f>'Working counts'!S138/'Working counts'!S$156</f>
        <v>0.023112888522951156</v>
      </c>
      <c r="T151" s="31">
        <f>'Working counts'!T138/'Working counts'!T$156</f>
        <v>0.023649841157783267</v>
      </c>
      <c r="U151" s="31">
        <f>'Working counts'!U138/'Working counts'!U$156</f>
        <v>0.024669682180692775</v>
      </c>
      <c r="V151" s="31">
        <f>'Working counts'!V138/'Working counts'!V$156</f>
        <v>0.022038892162639954</v>
      </c>
    </row>
    <row r="152" spans="1:22" ht="12.75">
      <c r="A152" s="4" t="s">
        <v>175</v>
      </c>
      <c r="G152" s="31">
        <f>'Working counts'!G139/'Working counts'!G$156</f>
        <v>0.13338667276260144</v>
      </c>
      <c r="H152" s="31">
        <f>'Working counts'!H139/'Working counts'!H$156</f>
        <v>0.15284369114877588</v>
      </c>
      <c r="I152" s="31">
        <f>'Working counts'!I139/'Working counts'!I$156</f>
        <v>0.16696435216194092</v>
      </c>
      <c r="J152" s="31">
        <f>'Working counts'!J139/'Working counts'!J$156</f>
        <v>0.15709561568822672</v>
      </c>
      <c r="K152" s="31">
        <f>'Working counts'!K139/'Working counts'!K$156</f>
        <v>0.13322379680974875</v>
      </c>
      <c r="L152" s="31">
        <f>'Working counts'!L139/'Working counts'!L$156</f>
        <v>0.1006815365551425</v>
      </c>
      <c r="M152" s="31">
        <f>'Working counts'!M139/'Working counts'!M$156</f>
        <v>0.08736707004033736</v>
      </c>
      <c r="N152" s="31">
        <f>'Working counts'!N139/'Working counts'!N$156</f>
        <v>0.07107531021411437</v>
      </c>
      <c r="O152" s="31">
        <f>'Working counts'!O139/'Working counts'!O$156</f>
        <v>0.06005816917033972</v>
      </c>
      <c r="P152" s="31">
        <f>'Working counts'!P139/'Working counts'!P$156</f>
        <v>0.05162523900573614</v>
      </c>
      <c r="Q152" s="31">
        <f>'Working counts'!Q139/'Working counts'!Q$156</f>
        <v>0.03976573938506588</v>
      </c>
      <c r="R152" s="31">
        <f>'Working counts'!R139/'Working counts'!R$156</f>
        <v>0.03438235294117647</v>
      </c>
      <c r="S152" s="31">
        <f>'Working counts'!S139/'Working counts'!S$156</f>
        <v>0.03040550474902226</v>
      </c>
      <c r="T152" s="31">
        <f>'Working counts'!T139/'Working counts'!T$156</f>
        <v>0.024738204494646428</v>
      </c>
      <c r="U152" s="31">
        <f>'Working counts'!U139/'Working counts'!U$156</f>
        <v>0.022973455541007024</v>
      </c>
      <c r="V152" s="31">
        <f>'Working counts'!V139/'Working counts'!V$156</f>
        <v>0.01885680612846199</v>
      </c>
    </row>
    <row r="153" spans="1:22" ht="12.75">
      <c r="A153" s="4" t="s">
        <v>176</v>
      </c>
      <c r="G153" s="31">
        <f>'Working counts'!G140/'Working counts'!G$156</f>
        <v>0.06473120737608108</v>
      </c>
      <c r="H153" s="31">
        <f>'Working counts'!H140/'Working counts'!H$156</f>
        <v>0.08527306967984934</v>
      </c>
      <c r="I153" s="31">
        <f>'Working counts'!I140/'Working counts'!I$156</f>
        <v>0.11371585919476074</v>
      </c>
      <c r="J153" s="31">
        <f>'Working counts'!J140/'Working counts'!J$156</f>
        <v>0.13547630053692708</v>
      </c>
      <c r="K153" s="31">
        <f>'Working counts'!K140/'Working counts'!K$156</f>
        <v>0.13383993975491204</v>
      </c>
      <c r="L153" s="31">
        <f>'Working counts'!L140/'Working counts'!L$156</f>
        <v>0.1161090458488228</v>
      </c>
      <c r="M153" s="31">
        <f>'Working counts'!M140/'Working counts'!M$156</f>
        <v>0.10069062461801735</v>
      </c>
      <c r="N153" s="31">
        <f>'Working counts'!N140/'Working counts'!N$156</f>
        <v>0.09364172120709569</v>
      </c>
      <c r="O153" s="31">
        <f>'Working counts'!O140/'Working counts'!O$156</f>
        <v>0.07768882492279092</v>
      </c>
      <c r="P153" s="31">
        <f>'Working counts'!P140/'Working counts'!P$156</f>
        <v>0.06187260994263862</v>
      </c>
      <c r="Q153" s="31">
        <f>'Working counts'!Q140/'Working counts'!Q$156</f>
        <v>0.05534407027818448</v>
      </c>
      <c r="R153" s="31">
        <f>'Working counts'!R140/'Working counts'!R$156</f>
        <v>0.049058823529411766</v>
      </c>
      <c r="S153" s="31">
        <f>'Working counts'!S140/'Working counts'!S$156</f>
        <v>0.04246184609051078</v>
      </c>
      <c r="T153" s="31">
        <f>'Working counts'!T140/'Working counts'!T$156</f>
        <v>0.031091893163901634</v>
      </c>
      <c r="U153" s="31">
        <f>'Working counts'!U140/'Working counts'!U$156</f>
        <v>0.028806094512558028</v>
      </c>
      <c r="V153" s="31">
        <f>'Working counts'!V140/'Working counts'!V$156</f>
        <v>0.02389510901591043</v>
      </c>
    </row>
    <row r="154" spans="1:22" ht="12.75">
      <c r="A154" s="4" t="s">
        <v>177</v>
      </c>
      <c r="G154" s="31">
        <f>'Working counts'!G141/'Working counts'!G$156</f>
        <v>0.031394064083514306</v>
      </c>
      <c r="H154" s="31">
        <f>'Working counts'!H141/'Working counts'!H$156</f>
        <v>0.04655367231638418</v>
      </c>
      <c r="I154" s="31">
        <f>'Working counts'!I141/'Working counts'!I$156</f>
        <v>0.06671876162833966</v>
      </c>
      <c r="J154" s="31">
        <f>'Working counts'!J141/'Working counts'!J$156</f>
        <v>0.0914909504675888</v>
      </c>
      <c r="K154" s="31">
        <f>'Working counts'!K141/'Working counts'!K$156</f>
        <v>0.11778599301704662</v>
      </c>
      <c r="L154" s="31">
        <f>'Working counts'!L141/'Working counts'!L$156</f>
        <v>0.11381660470879802</v>
      </c>
      <c r="M154" s="31">
        <f>'Working counts'!M141/'Working counts'!M$156</f>
        <v>0.10597726439310598</v>
      </c>
      <c r="N154" s="31">
        <f>'Working counts'!N141/'Working counts'!N$156</f>
        <v>0.09527053039950248</v>
      </c>
      <c r="O154" s="31">
        <f>'Working counts'!O141/'Working counts'!O$156</f>
        <v>0.08524482024527001</v>
      </c>
      <c r="P154" s="31">
        <f>'Working counts'!P141/'Working counts'!P$156</f>
        <v>0.08188934034416825</v>
      </c>
      <c r="Q154" s="31">
        <f>'Working counts'!Q141/'Working counts'!Q$156</f>
        <v>0.07013177159590044</v>
      </c>
      <c r="R154" s="31">
        <f>'Working counts'!R141/'Working counts'!R$156</f>
        <v>0.06294117647058824</v>
      </c>
      <c r="S154" s="31">
        <f>'Working counts'!S141/'Working counts'!S$156</f>
        <v>0.05575322727673714</v>
      </c>
      <c r="T154" s="31">
        <f>'Working counts'!T141/'Working counts'!T$156</f>
        <v>0.04074008706906695</v>
      </c>
      <c r="U154" s="31">
        <f>'Working counts'!U141/'Working counts'!U$156</f>
        <v>0.037971670039281036</v>
      </c>
      <c r="V154" s="31">
        <f>'Working counts'!V141/'Working counts'!V$156</f>
        <v>0.030878020035356512</v>
      </c>
    </row>
    <row r="155" spans="1:22" ht="12.75">
      <c r="A155" s="4" t="s">
        <v>184</v>
      </c>
      <c r="G155" s="31">
        <f>'Working counts'!G142/'Working counts'!G$156</f>
        <v>0.01638282470377567</v>
      </c>
      <c r="H155" s="31">
        <f>'Working counts'!H142/'Working counts'!H$156</f>
        <v>0.02568738229755179</v>
      </c>
      <c r="I155" s="31">
        <f>'Working counts'!I142/'Working counts'!I$156</f>
        <v>0.03962938155838357</v>
      </c>
      <c r="J155" s="31">
        <f>'Working counts'!J142/'Working counts'!J$156</f>
        <v>0.05682181844042243</v>
      </c>
      <c r="K155" s="31">
        <f>'Working counts'!K142/'Working counts'!K$156</f>
        <v>0.08649962346820018</v>
      </c>
      <c r="L155" s="31">
        <f>'Working counts'!L142/'Working counts'!L$156</f>
        <v>0.10071251548946716</v>
      </c>
      <c r="M155" s="31">
        <f>'Working counts'!M142/'Working counts'!M$156</f>
        <v>0.0980320254247647</v>
      </c>
      <c r="N155" s="31">
        <f>'Working counts'!N142/'Working counts'!N$156</f>
        <v>0.08884413776764297</v>
      </c>
      <c r="O155" s="31">
        <f>'Working counts'!O142/'Working counts'!O$156</f>
        <v>0.09052202332763636</v>
      </c>
      <c r="P155" s="31">
        <f>'Working counts'!P142/'Working counts'!P$156</f>
        <v>0.08514579349904397</v>
      </c>
      <c r="Q155" s="31">
        <f>'Working counts'!Q142/'Working counts'!Q$156</f>
        <v>0.08213762811127379</v>
      </c>
      <c r="R155" s="31">
        <f>'Working counts'!R142/'Working counts'!R$156</f>
        <v>0.07041176470588235</v>
      </c>
      <c r="S155" s="31">
        <f>'Working counts'!S142/'Working counts'!S$156</f>
        <v>0.0634869291616432</v>
      </c>
      <c r="T155" s="31">
        <f>'Working counts'!T142/'Working counts'!T$156</f>
        <v>0.05468290387104365</v>
      </c>
      <c r="U155" s="31">
        <f>'Working counts'!U142/'Working counts'!U$156</f>
        <v>0.0484763718604928</v>
      </c>
      <c r="V155" s="31">
        <f>'Working counts'!V142/'Working counts'!V$156</f>
        <v>0.04454920447849146</v>
      </c>
    </row>
    <row r="156" spans="1:22" ht="12.75">
      <c r="A156" s="4" t="s">
        <v>185</v>
      </c>
      <c r="G156" s="31">
        <f>'Working counts'!G143/'Working counts'!G$156</f>
        <v>0.009143902160246886</v>
      </c>
      <c r="H156" s="31">
        <f>'Working counts'!H143/'Working counts'!H$156</f>
        <v>0.014387947269303201</v>
      </c>
      <c r="I156" s="31">
        <f>'Working counts'!I143/'Working counts'!I$156</f>
        <v>0.020056560244102108</v>
      </c>
      <c r="J156" s="31">
        <f>'Working counts'!J143/'Working counts'!J$156</f>
        <v>0.03694484941151371</v>
      </c>
      <c r="K156" s="31">
        <f>'Working counts'!K143/'Working counts'!K$156</f>
        <v>0.057677825700006846</v>
      </c>
      <c r="L156" s="31">
        <f>'Working counts'!L143/'Working counts'!L$156</f>
        <v>0.07391573729863693</v>
      </c>
      <c r="M156" s="31">
        <f>'Working counts'!M143/'Working counts'!M$156</f>
        <v>0.08495293973841829</v>
      </c>
      <c r="N156" s="31">
        <f>'Working counts'!N143/'Working counts'!N$156</f>
        <v>0.07913051203838067</v>
      </c>
      <c r="O156" s="31">
        <f>'Working counts'!O143/'Working counts'!O$156</f>
        <v>0.08578453419687565</v>
      </c>
      <c r="P156" s="31">
        <f>'Working counts'!P143/'Working counts'!P$156</f>
        <v>0.08517566921606119</v>
      </c>
      <c r="Q156" s="31">
        <f>'Working counts'!Q143/'Working counts'!Q$156</f>
        <v>0.08316251830161055</v>
      </c>
      <c r="R156" s="31">
        <f>'Working counts'!R143/'Working counts'!R$156</f>
        <v>0.07502941176470589</v>
      </c>
      <c r="S156" s="31">
        <f>'Working counts'!S143/'Working counts'!S$156</f>
        <v>0.07336724791954598</v>
      </c>
      <c r="T156" s="31">
        <f>'Working counts'!T143/'Working counts'!T$156</f>
        <v>0.060360042357924464</v>
      </c>
      <c r="U156" s="31">
        <f>'Working counts'!U143/'Working counts'!U$156</f>
        <v>0.062343768598976314</v>
      </c>
      <c r="V156" s="31">
        <f>'Working counts'!V143/'Working counts'!V$156</f>
        <v>0.05424278137890395</v>
      </c>
    </row>
    <row r="157" spans="1:22" ht="12.75">
      <c r="A157" s="4" t="s">
        <v>178</v>
      </c>
      <c r="G157" s="31">
        <f>'Working counts'!G144/'Working counts'!G$156</f>
        <v>0.007200822951194422</v>
      </c>
      <c r="H157" s="31">
        <f>'Working counts'!H144/'Working counts'!H$156</f>
        <v>0.013107344632768362</v>
      </c>
      <c r="I157" s="31">
        <f>'Working counts'!I144/'Working counts'!I$156</f>
        <v>0.02258688695393317</v>
      </c>
      <c r="J157" s="31">
        <f>'Working counts'!J144/'Working counts'!J$156</f>
        <v>0.034562457774775096</v>
      </c>
      <c r="K157" s="31">
        <f>'Working counts'!K144/'Working counts'!K$156</f>
        <v>0.06373656466077908</v>
      </c>
      <c r="L157" s="31">
        <f>'Working counts'!L144/'Working counts'!L$156</f>
        <v>0.09761462205700124</v>
      </c>
      <c r="M157" s="31">
        <f>'Working counts'!M144/'Working counts'!M$156</f>
        <v>0.12293729372937294</v>
      </c>
      <c r="N157" s="31">
        <f>'Working counts'!N144/'Working counts'!N$156</f>
        <v>0.12994935884147243</v>
      </c>
      <c r="O157" s="31">
        <f>'Working counts'!O144/'Working counts'!O$156</f>
        <v>0.13915624718898983</v>
      </c>
      <c r="P157" s="31">
        <f>'Working counts'!P144/'Working counts'!P$156</f>
        <v>0.14391132887189292</v>
      </c>
      <c r="Q157" s="31">
        <f>'Working counts'!Q144/'Working counts'!Q$156</f>
        <v>0.14863836017569546</v>
      </c>
      <c r="R157" s="31">
        <f>'Working counts'!R144/'Working counts'!R$156</f>
        <v>0.1566764705882353</v>
      </c>
      <c r="S157" s="31">
        <f>'Working counts'!S144/'Working counts'!S$156</f>
        <v>0.15552680330520188</v>
      </c>
      <c r="T157" s="31">
        <f>'Working counts'!T144/'Working counts'!T$156</f>
        <v>0.13783974585245323</v>
      </c>
      <c r="U157" s="31">
        <f>'Working counts'!U144/'Working counts'!U$156</f>
        <v>0.12992500892750863</v>
      </c>
      <c r="V157" s="31">
        <f>'Working counts'!V144/'Working counts'!V$156</f>
        <v>0.1148202710665881</v>
      </c>
    </row>
    <row r="158" spans="1:22" ht="12.75">
      <c r="A158" s="4" t="s">
        <v>179</v>
      </c>
      <c r="G158" s="31">
        <f>'Working counts'!G145/'Working counts'!G$156</f>
        <v>0.0027431706480740654</v>
      </c>
      <c r="H158" s="31">
        <f>'Working counts'!H145/'Working counts'!H$156</f>
        <v>0.003728813559322034</v>
      </c>
      <c r="I158" s="31">
        <f>'Working counts'!I145/'Working counts'!I$156</f>
        <v>0.009004986232045844</v>
      </c>
      <c r="J158" s="31">
        <f>'Working counts'!J145/'Working counts'!J$156</f>
        <v>0.015858905522170466</v>
      </c>
      <c r="K158" s="31">
        <f>'Working counts'!K145/'Working counts'!K$156</f>
        <v>0.029027178749914423</v>
      </c>
      <c r="L158" s="31">
        <f>'Working counts'!L145/'Working counts'!L$156</f>
        <v>0.05275712515489467</v>
      </c>
      <c r="M158" s="31">
        <f>'Working counts'!M145/'Working counts'!M$156</f>
        <v>0.06793179317931793</v>
      </c>
      <c r="N158" s="31">
        <f>'Working counts'!N145/'Working counts'!N$156</f>
        <v>0.08834068765362632</v>
      </c>
      <c r="O158" s="31">
        <f>'Working counts'!O145/'Working counts'!O$156</f>
        <v>0.09750832059008725</v>
      </c>
      <c r="P158" s="31">
        <f>'Working counts'!P145/'Working counts'!P$156</f>
        <v>0.11003226577437858</v>
      </c>
      <c r="Q158" s="31">
        <f>'Working counts'!Q145/'Working counts'!Q$156</f>
        <v>0.12263543191800878</v>
      </c>
      <c r="R158" s="31">
        <f>'Working counts'!R145/'Working counts'!R$156</f>
        <v>0.12838235294117648</v>
      </c>
      <c r="S158" s="31">
        <f>'Working counts'!S145/'Working counts'!S$156</f>
        <v>0.13391360602228952</v>
      </c>
      <c r="T158" s="31">
        <f>'Working counts'!T145/'Working counts'!T$156</f>
        <v>0.13410401223673374</v>
      </c>
      <c r="U158" s="31">
        <f>'Working counts'!U145/'Working counts'!U$156</f>
        <v>0.12653255564813712</v>
      </c>
      <c r="V158" s="31">
        <f>'Working counts'!V145/'Working counts'!V$156</f>
        <v>0.1207719505008839</v>
      </c>
    </row>
    <row r="159" spans="1:22" ht="12.75">
      <c r="A159" s="4" t="s">
        <v>329</v>
      </c>
      <c r="B159" s="1"/>
      <c r="C159" s="1"/>
      <c r="E159" s="10"/>
      <c r="F159" s="10"/>
      <c r="G159" s="31">
        <f>'Working counts'!G154/'Working counts'!G$156</f>
        <v>0.0018668800243837392</v>
      </c>
      <c r="H159" s="31">
        <f>'Working counts'!H154/'Working counts'!H$156</f>
        <v>0.004067796610169492</v>
      </c>
      <c r="I159" s="31">
        <f>'Working counts'!I154/'Working counts'!I$156</f>
        <v>0.007070030512763266</v>
      </c>
      <c r="J159" s="31">
        <f>'Working counts'!J154/'Working counts'!J$156</f>
        <v>0.01400988514738826</v>
      </c>
      <c r="K159" s="31">
        <f>'Working counts'!K154/'Working counts'!K$156</f>
        <v>0.030635996440062985</v>
      </c>
      <c r="L159" s="31">
        <f>'Working counts'!L154/'Working counts'!L$156</f>
        <v>0.061926889714993806</v>
      </c>
      <c r="M159" s="31">
        <f>'Working counts'!M154/'Working counts'!M$156</f>
        <v>0.0925009167583425</v>
      </c>
      <c r="N159" s="31">
        <f>'Working counts'!N154/'Working counts'!N$156</f>
        <v>0.12301951609559629</v>
      </c>
      <c r="O159" s="31">
        <f>'Working counts'!O154/'Working counts'!O$156</f>
        <v>0.15975532967527212</v>
      </c>
      <c r="P159" s="31">
        <f>'Working counts'!P154/'Working counts'!P$156</f>
        <v>0.1871414913957935</v>
      </c>
      <c r="Q159" s="31">
        <f>'Working counts'!Q154/'Working counts'!Q$156</f>
        <v>0.2282576866764275</v>
      </c>
      <c r="R159" s="31">
        <f>'Working counts'!R154/'Working counts'!R$156</f>
        <v>0.25985294117647056</v>
      </c>
      <c r="S159" s="31">
        <f>'Working counts'!S154/'Working counts'!S$156</f>
        <v>0.3040256417796336</v>
      </c>
      <c r="T159" s="31">
        <f>'Working counts'!T154/'Working counts'!T$156</f>
        <v>0.3772796799623485</v>
      </c>
      <c r="U159" s="31">
        <f>'Working counts'!U154/'Working counts'!U$156</f>
        <v>0.40527913343649563</v>
      </c>
      <c r="V159" s="31">
        <f>'Working counts'!V154/'Working counts'!V$156</f>
        <v>0.4618444313494402</v>
      </c>
    </row>
    <row r="160" spans="1:22" ht="12.75">
      <c r="A160" s="4" t="s">
        <v>76</v>
      </c>
      <c r="G160" s="31">
        <f>'Working counts'!G151/'Working counts'!G$156</f>
        <v>0.0489579761496552</v>
      </c>
      <c r="H160" s="31">
        <f>'Working counts'!H151/'Working counts'!H$156</f>
        <v>0.04847457627118644</v>
      </c>
      <c r="I160" s="31">
        <f>'Working counts'!I151/'Working counts'!I$156</f>
        <v>0.048857631911885094</v>
      </c>
      <c r="J160" s="31">
        <f>'Working counts'!J151/'Working counts'!J$156</f>
        <v>0.047150019556946275</v>
      </c>
      <c r="K160" s="31">
        <f>'Working counts'!K151/'Working counts'!K$156</f>
        <v>0.04795645923187513</v>
      </c>
      <c r="L160" s="31">
        <f>'Working counts'!L151/'Working counts'!L$156</f>
        <v>0.06294919454770756</v>
      </c>
      <c r="M160" s="31">
        <f>'Working counts'!M151/'Working counts'!M$156</f>
        <v>0.06310353257547976</v>
      </c>
      <c r="N160" s="31">
        <f>'Working counts'!N151/'Working counts'!N$156</f>
        <v>0.06601119436135873</v>
      </c>
      <c r="O160" s="31">
        <f>'Working counts'!O151/'Working counts'!O$156</f>
        <v>0.07573985787532608</v>
      </c>
      <c r="P160" s="31">
        <f>'Working counts'!P151/'Working counts'!P$156</f>
        <v>0.0721199808795411</v>
      </c>
      <c r="Q160" s="31">
        <f>'Working counts'!Q151/'Working counts'!Q$156</f>
        <v>0.06863836017569547</v>
      </c>
      <c r="R160" s="31">
        <f>'Working counts'!R151/'Working counts'!R$156</f>
        <v>0.06385294117647058</v>
      </c>
      <c r="S160" s="31">
        <f>'Working counts'!S151/'Working counts'!S$156</f>
        <v>0.06175199223689241</v>
      </c>
      <c r="T160" s="31">
        <f>'Working counts'!T151/'Working counts'!T$156</f>
        <v>0.06474291093069773</v>
      </c>
      <c r="U160" s="31">
        <f>'Working counts'!U151/'Working counts'!U$156</f>
        <v>0.06600404713724557</v>
      </c>
      <c r="V160" s="31">
        <f>'Working counts'!V151/'Working counts'!V$156</f>
        <v>0.06287566293459046</v>
      </c>
    </row>
    <row r="161" spans="1:22" ht="12.75">
      <c r="A161" s="4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</row>
    <row r="162" spans="1:22" ht="12.75">
      <c r="A162" s="4" t="s">
        <v>407</v>
      </c>
      <c r="B162" s="31">
        <f>('Working counts'!B136+'Working counts'!B137)/('Working counts'!B136+'Working counts'!B137+'Working counts'!B152)</f>
        <v>0.845077241318604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>
        <f>('Working counts'!V136+'Working counts'!V137)/('Working counts'!V136+'Working counts'!V137+'Working counts'!V152)</f>
        <v>1</v>
      </c>
    </row>
    <row r="163" spans="1:22" ht="12.75">
      <c r="A163" s="4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</row>
    <row r="164" spans="1:22" ht="12.75">
      <c r="A164" s="4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ht="12.75">
      <c r="A165" s="4" t="s">
        <v>172</v>
      </c>
      <c r="B165" s="31"/>
      <c r="L165" s="31">
        <f>'Working counts'!L136/'Working counts'!L$156</f>
        <v>0.030390334572490706</v>
      </c>
      <c r="M165" s="31">
        <f>'Working counts'!M136/'Working counts'!M$156</f>
        <v>0.023713482459357046</v>
      </c>
      <c r="N165" s="31">
        <f>'Working counts'!N136/'Working counts'!N$156</f>
        <v>0.023750999496549886</v>
      </c>
      <c r="O165" s="31">
        <f>'Working counts'!O136/'Working counts'!O$156</f>
        <v>0.018440226679859676</v>
      </c>
      <c r="P165" s="31">
        <f>'Working counts'!P136/'Working counts'!P$156</f>
        <v>0.016461520076481835</v>
      </c>
      <c r="Q165" s="31">
        <f>'Working counts'!Q136/'Working counts'!Q$156</f>
        <v>0.014289897510980967</v>
      </c>
      <c r="R165" s="31">
        <f>'Working counts'!R136/'Working counts'!R$156</f>
        <v>0.017323529411764706</v>
      </c>
      <c r="S165" s="31">
        <f>'Working counts'!S136/'Working counts'!S$156</f>
        <v>0.01179168994618755</v>
      </c>
      <c r="T165" s="31">
        <f>'Working counts'!T136/'Working counts'!T$156</f>
        <v>0.013325097070243559</v>
      </c>
      <c r="U165" s="31">
        <f>'Working counts'!U136/'Working counts'!U$156</f>
        <v>0.008867991905725509</v>
      </c>
      <c r="V165" s="31">
        <f>'Working counts'!V136/'Working counts'!V$156</f>
        <v>0.00901591043017089</v>
      </c>
    </row>
    <row r="166" spans="1:22" ht="12.75">
      <c r="A166" s="4" t="s">
        <v>173</v>
      </c>
      <c r="L166" s="31">
        <f>'Working counts'!L137/'Working counts'!L$156</f>
        <v>0.10650557620817844</v>
      </c>
      <c r="M166" s="31">
        <f>'Working counts'!M137/'Working counts'!M$156</f>
        <v>0.08525852585258525</v>
      </c>
      <c r="N166" s="31">
        <f>'Working counts'!N137/'Working counts'!N$156</f>
        <v>0.08232890099801582</v>
      </c>
      <c r="O166" s="31">
        <f>'Working counts'!O137/'Working counts'!O$156</f>
        <v>0.0675242121675512</v>
      </c>
      <c r="P166" s="31">
        <f>'Working counts'!P137/'Working counts'!P$156</f>
        <v>0.062111615678776294</v>
      </c>
      <c r="Q166" s="31">
        <f>'Working counts'!Q137/'Working counts'!Q$156</f>
        <v>0.052298682284041</v>
      </c>
      <c r="R166" s="31">
        <f>'Working counts'!R137/'Working counts'!R$156</f>
        <v>0.0531764705882353</v>
      </c>
      <c r="S166" s="31">
        <f>'Working counts'!S137/'Working counts'!S$156</f>
        <v>0.04437321727879554</v>
      </c>
      <c r="T166" s="31">
        <f>'Working counts'!T137/'Working counts'!T$156</f>
        <v>0.03741616660783621</v>
      </c>
      <c r="U166" s="31">
        <f>'Working counts'!U137/'Working counts'!U$156</f>
        <v>0.03817997857397929</v>
      </c>
      <c r="V166" s="31">
        <f>'Working counts'!V137/'Working counts'!V$156</f>
        <v>0.036181496758986444</v>
      </c>
    </row>
    <row r="167" spans="1:22" ht="12.75">
      <c r="A167" s="4" t="s">
        <v>174</v>
      </c>
      <c r="B167" s="1"/>
      <c r="C167" s="1"/>
      <c r="L167" s="31">
        <f>'Working counts'!L138/'Working counts'!L$156</f>
        <v>0.08265179677819083</v>
      </c>
      <c r="M167" s="31">
        <f>'Working counts'!M138/'Working counts'!M$156</f>
        <v>0.06756508984231757</v>
      </c>
      <c r="N167" s="31">
        <f>'Working counts'!N138/'Working counts'!N$156</f>
        <v>0.05866674563923357</v>
      </c>
      <c r="O167" s="31">
        <f>'Working counts'!O138/'Working counts'!O$156</f>
        <v>0.0425774339600012</v>
      </c>
      <c r="P167" s="31">
        <f>'Working counts'!P138/'Working counts'!P$156</f>
        <v>0.04254302103250478</v>
      </c>
      <c r="Q167" s="31">
        <f>'Working counts'!Q138/'Working counts'!Q$156</f>
        <v>0.034641288433382135</v>
      </c>
      <c r="R167" s="31">
        <f>'Working counts'!R138/'Working counts'!R$156</f>
        <v>0.028941176470588234</v>
      </c>
      <c r="S167" s="31">
        <f>'Working counts'!S138/'Working counts'!S$156</f>
        <v>0.023112888522951156</v>
      </c>
      <c r="T167" s="31">
        <f>'Working counts'!T138/'Working counts'!T$156</f>
        <v>0.023649841157783267</v>
      </c>
      <c r="U167" s="31">
        <f>'Working counts'!U138/'Working counts'!U$156</f>
        <v>0.024669682180692775</v>
      </c>
      <c r="V167" s="31">
        <f>'Working counts'!V138/'Working counts'!V$156</f>
        <v>0.022038892162639954</v>
      </c>
    </row>
    <row r="168" spans="1:22" ht="12.75">
      <c r="A168" s="4" t="s">
        <v>175</v>
      </c>
      <c r="L168" s="31">
        <f>'Working counts'!L139/'Working counts'!L$156</f>
        <v>0.1006815365551425</v>
      </c>
      <c r="M168" s="31">
        <f>'Working counts'!M139/'Working counts'!M$156</f>
        <v>0.08736707004033736</v>
      </c>
      <c r="N168" s="31">
        <f>'Working counts'!N139/'Working counts'!N$156</f>
        <v>0.07107531021411437</v>
      </c>
      <c r="O168" s="31">
        <f>'Working counts'!O139/'Working counts'!O$156</f>
        <v>0.06005816917033972</v>
      </c>
      <c r="P168" s="31">
        <f>'Working counts'!P139/'Working counts'!P$156</f>
        <v>0.05162523900573614</v>
      </c>
      <c r="Q168" s="31">
        <f>'Working counts'!Q139/'Working counts'!Q$156</f>
        <v>0.03976573938506588</v>
      </c>
      <c r="R168" s="31">
        <f>'Working counts'!R139/'Working counts'!R$156</f>
        <v>0.03438235294117647</v>
      </c>
      <c r="S168" s="31">
        <f>'Working counts'!S139/'Working counts'!S$156</f>
        <v>0.03040550474902226</v>
      </c>
      <c r="T168" s="31">
        <f>'Working counts'!T139/'Working counts'!T$156</f>
        <v>0.024738204494646428</v>
      </c>
      <c r="U168" s="31">
        <f>'Working counts'!U139/'Working counts'!U$156</f>
        <v>0.022973455541007024</v>
      </c>
      <c r="V168" s="31">
        <f>'Working counts'!V139/'Working counts'!V$156</f>
        <v>0.01885680612846199</v>
      </c>
    </row>
    <row r="169" spans="1:22" ht="12.75">
      <c r="A169" s="4" t="s">
        <v>176</v>
      </c>
      <c r="L169" s="31">
        <f>'Working counts'!L140/'Working counts'!L$156</f>
        <v>0.1161090458488228</v>
      </c>
      <c r="M169" s="31">
        <f>'Working counts'!M140/'Working counts'!M$156</f>
        <v>0.10069062461801735</v>
      </c>
      <c r="N169" s="31">
        <f>'Working counts'!N140/'Working counts'!N$156</f>
        <v>0.09364172120709569</v>
      </c>
      <c r="O169" s="31">
        <f>'Working counts'!O140/'Working counts'!O$156</f>
        <v>0.07768882492279092</v>
      </c>
      <c r="P169" s="31">
        <f>'Working counts'!P140/'Working counts'!P$156</f>
        <v>0.06187260994263862</v>
      </c>
      <c r="Q169" s="31">
        <f>'Working counts'!Q140/'Working counts'!Q$156</f>
        <v>0.05534407027818448</v>
      </c>
      <c r="R169" s="31">
        <f>'Working counts'!R140/'Working counts'!R$156</f>
        <v>0.049058823529411766</v>
      </c>
      <c r="S169" s="31">
        <f>'Working counts'!S140/'Working counts'!S$156</f>
        <v>0.04246184609051078</v>
      </c>
      <c r="T169" s="31">
        <f>'Working counts'!T140/'Working counts'!T$156</f>
        <v>0.031091893163901634</v>
      </c>
      <c r="U169" s="31">
        <f>'Working counts'!U140/'Working counts'!U$156</f>
        <v>0.028806094512558028</v>
      </c>
      <c r="V169" s="31">
        <f>'Working counts'!V140/'Working counts'!V$156</f>
        <v>0.02389510901591043</v>
      </c>
    </row>
    <row r="170" spans="1:22" ht="12.75">
      <c r="A170" s="4" t="s">
        <v>177</v>
      </c>
      <c r="L170" s="31">
        <f>'Working counts'!L141/'Working counts'!L$156</f>
        <v>0.11381660470879802</v>
      </c>
      <c r="M170" s="31">
        <f>'Working counts'!M141/'Working counts'!M$156</f>
        <v>0.10597726439310598</v>
      </c>
      <c r="N170" s="31">
        <f>'Working counts'!N141/'Working counts'!N$156</f>
        <v>0.09527053039950248</v>
      </c>
      <c r="O170" s="31">
        <f>'Working counts'!O141/'Working counts'!O$156</f>
        <v>0.08524482024527001</v>
      </c>
      <c r="P170" s="31">
        <f>'Working counts'!P141/'Working counts'!P$156</f>
        <v>0.08188934034416825</v>
      </c>
      <c r="Q170" s="31">
        <f>'Working counts'!Q141/'Working counts'!Q$156</f>
        <v>0.07013177159590044</v>
      </c>
      <c r="R170" s="31">
        <f>'Working counts'!R141/'Working counts'!R$156</f>
        <v>0.06294117647058824</v>
      </c>
      <c r="S170" s="31">
        <f>'Working counts'!S141/'Working counts'!S$156</f>
        <v>0.05575322727673714</v>
      </c>
      <c r="T170" s="31">
        <f>'Working counts'!T141/'Working counts'!T$156</f>
        <v>0.04074008706906695</v>
      </c>
      <c r="U170" s="31">
        <f>'Working counts'!U141/'Working counts'!U$156</f>
        <v>0.037971670039281036</v>
      </c>
      <c r="V170" s="31">
        <f>'Working counts'!V141/'Working counts'!V$156</f>
        <v>0.030878020035356512</v>
      </c>
    </row>
    <row r="171" spans="1:22" ht="12.75">
      <c r="A171" s="4" t="s">
        <v>184</v>
      </c>
      <c r="L171" s="31">
        <f>'Working counts'!L142/'Working counts'!L$156</f>
        <v>0.10071251548946716</v>
      </c>
      <c r="M171" s="31">
        <f>'Working counts'!M142/'Working counts'!M$156</f>
        <v>0.0980320254247647</v>
      </c>
      <c r="N171" s="31">
        <f>'Working counts'!N142/'Working counts'!N$156</f>
        <v>0.08884413776764297</v>
      </c>
      <c r="O171" s="31">
        <f>'Working counts'!O142/'Working counts'!O$156</f>
        <v>0.09052202332763636</v>
      </c>
      <c r="P171" s="31">
        <f>'Working counts'!P142/'Working counts'!P$156</f>
        <v>0.08514579349904397</v>
      </c>
      <c r="Q171" s="31">
        <f>'Working counts'!Q142/'Working counts'!Q$156</f>
        <v>0.08213762811127379</v>
      </c>
      <c r="R171" s="31">
        <f>'Working counts'!R142/'Working counts'!R$156</f>
        <v>0.07041176470588235</v>
      </c>
      <c r="S171" s="31">
        <f>'Working counts'!S142/'Working counts'!S$156</f>
        <v>0.0634869291616432</v>
      </c>
      <c r="T171" s="31">
        <f>'Working counts'!T142/'Working counts'!T$156</f>
        <v>0.05468290387104365</v>
      </c>
      <c r="U171" s="31">
        <f>'Working counts'!U142/'Working counts'!U$156</f>
        <v>0.0484763718604928</v>
      </c>
      <c r="V171" s="31">
        <f>'Working counts'!V142/'Working counts'!V$156</f>
        <v>0.04454920447849146</v>
      </c>
    </row>
    <row r="172" spans="1:22" ht="12.75">
      <c r="A172" s="4" t="s">
        <v>185</v>
      </c>
      <c r="L172" s="31">
        <f>'Working counts'!L143/'Working counts'!L$156</f>
        <v>0.07391573729863693</v>
      </c>
      <c r="M172" s="31">
        <f>'Working counts'!M143/'Working counts'!M$156</f>
        <v>0.08495293973841829</v>
      </c>
      <c r="N172" s="31">
        <f>'Working counts'!N143/'Working counts'!N$156</f>
        <v>0.07913051203838067</v>
      </c>
      <c r="O172" s="31">
        <f>'Working counts'!O143/'Working counts'!O$156</f>
        <v>0.08578453419687565</v>
      </c>
      <c r="P172" s="31">
        <f>'Working counts'!P143/'Working counts'!P$156</f>
        <v>0.08517566921606119</v>
      </c>
      <c r="Q172" s="31">
        <f>'Working counts'!Q143/'Working counts'!Q$156</f>
        <v>0.08316251830161055</v>
      </c>
      <c r="R172" s="31">
        <f>'Working counts'!R143/'Working counts'!R$156</f>
        <v>0.07502941176470589</v>
      </c>
      <c r="S172" s="31">
        <f>'Working counts'!S143/'Working counts'!S$156</f>
        <v>0.07336724791954598</v>
      </c>
      <c r="T172" s="31">
        <f>'Working counts'!T143/'Working counts'!T$156</f>
        <v>0.060360042357924464</v>
      </c>
      <c r="U172" s="31">
        <f>'Working counts'!U143/'Working counts'!U$156</f>
        <v>0.062343768598976314</v>
      </c>
      <c r="V172" s="31">
        <f>'Working counts'!V143/'Working counts'!V$156</f>
        <v>0.05424278137890395</v>
      </c>
    </row>
    <row r="173" spans="1:22" ht="12.75">
      <c r="A173" s="4" t="s">
        <v>178</v>
      </c>
      <c r="L173" s="31">
        <f>'Working counts'!L144/'Working counts'!L$156</f>
        <v>0.09761462205700124</v>
      </c>
      <c r="M173" s="31">
        <f>'Working counts'!M144/'Working counts'!M$156</f>
        <v>0.12293729372937294</v>
      </c>
      <c r="N173" s="31">
        <f>'Working counts'!N144/'Working counts'!N$156</f>
        <v>0.12994935884147243</v>
      </c>
      <c r="O173" s="31">
        <f>'Working counts'!O144/'Working counts'!O$156</f>
        <v>0.13915624718898983</v>
      </c>
      <c r="P173" s="31">
        <f>'Working counts'!P144/'Working counts'!P$156</f>
        <v>0.14391132887189292</v>
      </c>
      <c r="Q173" s="31">
        <f>'Working counts'!Q144/'Working counts'!Q$156</f>
        <v>0.14863836017569546</v>
      </c>
      <c r="R173" s="31">
        <f>'Working counts'!R144/'Working counts'!R$156</f>
        <v>0.1566764705882353</v>
      </c>
      <c r="S173" s="31">
        <f>'Working counts'!S144/'Working counts'!S$156</f>
        <v>0.15552680330520188</v>
      </c>
      <c r="T173" s="31">
        <f>'Working counts'!T144/'Working counts'!T$156</f>
        <v>0.13783974585245323</v>
      </c>
      <c r="U173" s="31">
        <f>'Working counts'!U144/'Working counts'!U$156</f>
        <v>0.12992500892750863</v>
      </c>
      <c r="V173" s="31">
        <f>'Working counts'!V144/'Working counts'!V$156</f>
        <v>0.1148202710665881</v>
      </c>
    </row>
    <row r="174" spans="1:22" ht="12.75">
      <c r="A174" s="4" t="s">
        <v>179</v>
      </c>
      <c r="L174" s="31">
        <f>'Working counts'!L145/'Working counts'!L$156</f>
        <v>0.05275712515489467</v>
      </c>
      <c r="M174" s="31">
        <f>'Working counts'!M145/'Working counts'!M$156</f>
        <v>0.06793179317931793</v>
      </c>
      <c r="N174" s="31">
        <f>'Working counts'!N145/'Working counts'!N$156</f>
        <v>0.08834068765362632</v>
      </c>
      <c r="O174" s="31">
        <f>'Working counts'!O145/'Working counts'!O$156</f>
        <v>0.09750832059008725</v>
      </c>
      <c r="P174" s="31">
        <f>'Working counts'!P145/'Working counts'!P$156</f>
        <v>0.11003226577437858</v>
      </c>
      <c r="Q174" s="31">
        <f>'Working counts'!Q145/'Working counts'!Q$156</f>
        <v>0.12263543191800878</v>
      </c>
      <c r="R174" s="31">
        <f>'Working counts'!R145/'Working counts'!R$156</f>
        <v>0.12838235294117648</v>
      </c>
      <c r="S174" s="31">
        <f>'Working counts'!S145/'Working counts'!S$156</f>
        <v>0.13391360602228952</v>
      </c>
      <c r="T174" s="31">
        <f>'Working counts'!T145/'Working counts'!T$156</f>
        <v>0.13410401223673374</v>
      </c>
      <c r="U174" s="31">
        <f>'Working counts'!U145/'Working counts'!U$156</f>
        <v>0.12653255564813712</v>
      </c>
      <c r="V174" s="31">
        <f>'Working counts'!V145/'Working counts'!V$156</f>
        <v>0.1207719505008839</v>
      </c>
    </row>
    <row r="175" spans="1:22" ht="12.75">
      <c r="A175" s="4" t="s">
        <v>180</v>
      </c>
      <c r="G175" s="1"/>
      <c r="H175" s="1"/>
      <c r="I175" s="1"/>
      <c r="J175" s="1"/>
      <c r="K175" s="1"/>
      <c r="L175" s="31">
        <f>'Working counts'!L146/'Working counts'!L$156</f>
        <v>0.025867410161090457</v>
      </c>
      <c r="M175" s="31">
        <f>'Working counts'!M146/'Working counts'!M$156</f>
        <v>0.03691480259137025</v>
      </c>
      <c r="N175" s="31">
        <f>'Working counts'!N146/'Working counts'!N$156</f>
        <v>0.05010809370095063</v>
      </c>
      <c r="O175" s="31">
        <f>'Working counts'!O146/'Working counts'!O$156</f>
        <v>0.06230697730202992</v>
      </c>
      <c r="P175" s="31">
        <f>'Working counts'!P146/'Working counts'!P$156</f>
        <v>0.07116395793499045</v>
      </c>
      <c r="Q175" s="31">
        <f>'Working counts'!Q146/'Working counts'!Q$156</f>
        <v>0.08521229868228404</v>
      </c>
      <c r="R175" s="31">
        <f>'Working counts'!R146/'Working counts'!R$156</f>
        <v>0.093</v>
      </c>
      <c r="S175" s="31">
        <f>'Working counts'!S146/'Working counts'!S$156</f>
        <v>0.10039109595083365</v>
      </c>
      <c r="T175" s="31">
        <f>'Working counts'!T146/'Working counts'!T$156</f>
        <v>0.10830685963054477</v>
      </c>
      <c r="U175" s="31">
        <f>'Working counts'!U146/'Working counts'!U$156</f>
        <v>0.11195095821925961</v>
      </c>
      <c r="V175" s="31">
        <f>'Working counts'!V146/'Working counts'!V$156</f>
        <v>0.10883912787271656</v>
      </c>
    </row>
    <row r="176" spans="1:22" ht="12.75">
      <c r="A176" s="4" t="s">
        <v>181</v>
      </c>
      <c r="L176" s="31">
        <f>'Working counts'!L147/'Working counts'!L$156</f>
        <v>0.02100371747211896</v>
      </c>
      <c r="M176" s="31">
        <f>'Working counts'!M147/'Working counts'!M$156</f>
        <v>0.03511184451778511</v>
      </c>
      <c r="N176" s="31">
        <f>'Working counts'!N147/'Working counts'!N$156</f>
        <v>0.04575473095033613</v>
      </c>
      <c r="O176" s="31">
        <f>'Working counts'!O147/'Working counts'!O$156</f>
        <v>0.05831909088183263</v>
      </c>
      <c r="P176" s="31">
        <f>'Working counts'!P147/'Working counts'!P$156</f>
        <v>0.06742949330783939</v>
      </c>
      <c r="Q176" s="31">
        <f>'Working counts'!Q147/'Working counts'!Q$156</f>
        <v>0.08363103953147877</v>
      </c>
      <c r="R176" s="31">
        <f>'Working counts'!R147/'Working counts'!R$156</f>
        <v>0.09214705882352942</v>
      </c>
      <c r="S176" s="31">
        <f>'Working counts'!S147/'Working counts'!S$156</f>
        <v>0.10824242067809568</v>
      </c>
      <c r="T176" s="31">
        <f>'Working counts'!T147/'Working counts'!T$156</f>
        <v>0.13313330980115307</v>
      </c>
      <c r="U176" s="31">
        <f>'Working counts'!U147/'Working counts'!U$156</f>
        <v>0.13724556600404714</v>
      </c>
      <c r="V176" s="31">
        <f>'Working counts'!V147/'Working counts'!V$156</f>
        <v>0.1553624042427814</v>
      </c>
    </row>
    <row r="177" spans="1:22" ht="12.75">
      <c r="A177" s="4" t="s">
        <v>182</v>
      </c>
      <c r="L177" s="31">
        <f>'Working counts'!L148/'Working counts'!L$156</f>
        <v>0.009851301115241635</v>
      </c>
      <c r="M177" s="31">
        <f>'Working counts'!M148/'Working counts'!M$156</f>
        <v>0.011428920669844762</v>
      </c>
      <c r="N177" s="31">
        <f>'Working counts'!N148/'Working counts'!N$156</f>
        <v>0.015636568247105163</v>
      </c>
      <c r="O177" s="31">
        <f>'Working counts'!O148/'Working counts'!O$156</f>
        <v>0.022937842943240083</v>
      </c>
      <c r="P177" s="31">
        <f>'Working counts'!P148/'Working counts'!P$156</f>
        <v>0.029009321223709368</v>
      </c>
      <c r="Q177" s="31">
        <f>'Working counts'!Q148/'Working counts'!Q$156</f>
        <v>0.03642752562225476</v>
      </c>
      <c r="R177" s="31">
        <f>'Working counts'!R148/'Working counts'!R$156</f>
        <v>0.041029411764705884</v>
      </c>
      <c r="S177" s="31">
        <f>'Working counts'!S148/'Working counts'!S$156</f>
        <v>0.052312759137824565</v>
      </c>
      <c r="T177" s="31">
        <f>'Working counts'!T148/'Working counts'!T$156</f>
        <v>0.06950817743263914</v>
      </c>
      <c r="U177" s="31">
        <f>'Working counts'!U148/'Working counts'!U$156</f>
        <v>0.08293655517200334</v>
      </c>
      <c r="V177" s="31">
        <f>'Working counts'!V148/'Working counts'!V$156</f>
        <v>0.09363582793164407</v>
      </c>
    </row>
    <row r="178" spans="1:22" ht="12.75">
      <c r="A178" s="4" t="s">
        <v>183</v>
      </c>
      <c r="L178" s="31">
        <f>'Working counts'!L149/'Working counts'!L$156</f>
        <v>0.003438661710037175</v>
      </c>
      <c r="M178" s="31">
        <f>'Working counts'!M149/'Working counts'!M$156</f>
        <v>0.004797701992421464</v>
      </c>
      <c r="N178" s="31">
        <f>'Working counts'!N149/'Working counts'!N$156</f>
        <v>0.006929842745876151</v>
      </c>
      <c r="O178" s="31">
        <f>'Working counts'!O149/'Working counts'!O$156</f>
        <v>0.008875296093070672</v>
      </c>
      <c r="P178" s="31">
        <f>'Working counts'!P149/'Working counts'!P$156</f>
        <v>0.011322896749521989</v>
      </c>
      <c r="Q178" s="31">
        <f>'Working counts'!Q149/'Working counts'!Q$156</f>
        <v>0.012298682284040996</v>
      </c>
      <c r="R178" s="31">
        <f>'Working counts'!R149/'Working counts'!R$156</f>
        <v>0.016352941176470587</v>
      </c>
      <c r="S178" s="31">
        <f>'Working counts'!S149/'Working counts'!S$156</f>
        <v>0.019172523304025642</v>
      </c>
      <c r="T178" s="31">
        <f>'Working counts'!T149/'Working counts'!T$156</f>
        <v>0.03076832568537475</v>
      </c>
      <c r="U178" s="31">
        <f>'Working counts'!U149/'Working counts'!U$156</f>
        <v>0.03472800857040829</v>
      </c>
      <c r="V178" s="31">
        <f>'Working counts'!V149/'Working counts'!V$156</f>
        <v>0.04843842074248674</v>
      </c>
    </row>
    <row r="179" spans="1:22" ht="12.75">
      <c r="A179" s="4" t="s">
        <v>186</v>
      </c>
      <c r="L179" s="31">
        <f>'Working counts'!L150/'Working counts'!L$156</f>
        <v>0.0017657992565055763</v>
      </c>
      <c r="M179" s="31">
        <f>'Working counts'!M150/'Working counts'!M$156</f>
        <v>0.004247646986920915</v>
      </c>
      <c r="N179" s="31">
        <f>'Working counts'!N150/'Working counts'!N$156</f>
        <v>0.00459028045132822</v>
      </c>
      <c r="O179" s="31">
        <f>'Working counts'!O150/'Working counts'!O$156</f>
        <v>0.007316122455098798</v>
      </c>
      <c r="P179" s="31">
        <f>'Working counts'!P150/'Working counts'!P$156</f>
        <v>0.008215822179732313</v>
      </c>
      <c r="Q179" s="31">
        <f>'Working counts'!Q150/'Working counts'!Q$156</f>
        <v>0.01068814055636896</v>
      </c>
      <c r="R179" s="31">
        <f>'Working counts'!R150/'Working counts'!R$156</f>
        <v>0.017323529411764706</v>
      </c>
      <c r="S179" s="31">
        <f>'Working counts'!S150/'Working counts'!S$156</f>
        <v>0.02390684270885406</v>
      </c>
      <c r="T179" s="31">
        <f>'Working counts'!T150/'Working counts'!T$156</f>
        <v>0.03556300741263678</v>
      </c>
      <c r="U179" s="31">
        <f>'Working counts'!U150/'Working counts'!U$156</f>
        <v>0.03841804547077729</v>
      </c>
      <c r="V179" s="31">
        <f>'Working counts'!V150/'Working counts'!V$156</f>
        <v>0.05556865055981143</v>
      </c>
    </row>
    <row r="180" spans="1:22" ht="12.75">
      <c r="A180" s="4" t="s">
        <v>76</v>
      </c>
      <c r="L180" s="31">
        <f>'Working counts'!L151/'Working counts'!L$156</f>
        <v>0.06294919454770756</v>
      </c>
      <c r="M180" s="31">
        <f>'Working counts'!M151/'Working counts'!M$156</f>
        <v>0.06310353257547976</v>
      </c>
      <c r="N180" s="31">
        <f>'Working counts'!N151/'Working counts'!N$156</f>
        <v>0.06601119436135873</v>
      </c>
      <c r="O180" s="31">
        <f>'Working counts'!O151/'Working counts'!O$156</f>
        <v>0.07573985787532608</v>
      </c>
      <c r="P180" s="31">
        <f>'Working counts'!P151/'Working counts'!P$156</f>
        <v>0.0721199808795411</v>
      </c>
      <c r="Q180" s="31">
        <f>'Working counts'!Q151/'Working counts'!Q$156</f>
        <v>0.06863836017569547</v>
      </c>
      <c r="R180" s="31">
        <f>'Working counts'!R151/'Working counts'!R$156</f>
        <v>0.06385294117647058</v>
      </c>
      <c r="S180" s="31">
        <f>'Working counts'!S151/'Working counts'!S$156</f>
        <v>0.06175199223689241</v>
      </c>
      <c r="T180" s="31">
        <f>'Working counts'!T151/'Working counts'!T$156</f>
        <v>0.06474291093069773</v>
      </c>
      <c r="U180" s="31">
        <f>'Working counts'!U151/'Working counts'!U$156</f>
        <v>0.06600404713724557</v>
      </c>
      <c r="V180" s="31">
        <f>'Working counts'!V151/'Working counts'!V$156</f>
        <v>0.06287566293459046</v>
      </c>
    </row>
    <row r="181" spans="12:22" ht="12.75"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</row>
    <row r="182" spans="1:22" ht="12.75">
      <c r="A182" s="8" t="s">
        <v>254</v>
      </c>
      <c r="G182" s="9">
        <v>26247</v>
      </c>
      <c r="H182" s="9">
        <v>26550</v>
      </c>
      <c r="I182" s="9">
        <v>26874</v>
      </c>
      <c r="J182" s="9">
        <v>28123</v>
      </c>
      <c r="K182" s="9">
        <v>29214</v>
      </c>
      <c r="L182" s="64">
        <f>'Working counts'!L40</f>
        <v>32280</v>
      </c>
      <c r="M182" s="64">
        <f>'Working counts'!M40</f>
        <v>32724</v>
      </c>
      <c r="N182" s="64">
        <f>'Working counts'!N40</f>
        <v>33767</v>
      </c>
      <c r="O182" s="64">
        <f>'Working counts'!O40</f>
        <v>33351</v>
      </c>
      <c r="P182" s="64">
        <f>'Working counts'!P40</f>
        <v>33472</v>
      </c>
      <c r="Q182" s="64">
        <f>'Working counts'!Q40</f>
        <v>34150</v>
      </c>
      <c r="R182" s="64">
        <f>'Working counts'!R40</f>
        <v>34000</v>
      </c>
      <c r="S182" s="64">
        <f>'Working counts'!S40</f>
        <v>34007</v>
      </c>
      <c r="T182" s="64">
        <f>'Working counts'!T40</f>
        <v>33996</v>
      </c>
      <c r="U182" s="64">
        <f>'Working counts'!U40</f>
        <v>33604</v>
      </c>
      <c r="V182" s="64">
        <f>'Working counts'!V40</f>
        <v>33940</v>
      </c>
    </row>
    <row r="183" spans="7:9" ht="12.75">
      <c r="G183" s="9" t="s">
        <v>336</v>
      </c>
      <c r="H183" s="9" t="s">
        <v>336</v>
      </c>
      <c r="I183" s="9" t="s">
        <v>336</v>
      </c>
    </row>
    <row r="184" ht="12.75">
      <c r="A184" s="4" t="s">
        <v>187</v>
      </c>
    </row>
    <row r="185" spans="1:22" ht="12.75">
      <c r="A185" s="4" t="s">
        <v>188</v>
      </c>
      <c r="L185" s="9">
        <v>228</v>
      </c>
      <c r="M185" s="9">
        <v>195</v>
      </c>
      <c r="N185" s="9">
        <v>234</v>
      </c>
      <c r="O185" s="9">
        <v>221</v>
      </c>
      <c r="P185" s="9">
        <v>156</v>
      </c>
      <c r="Q185" s="9">
        <v>191</v>
      </c>
      <c r="R185" s="9">
        <v>357</v>
      </c>
      <c r="S185" s="9">
        <v>293</v>
      </c>
      <c r="T185" s="9">
        <v>311</v>
      </c>
      <c r="U185" s="9">
        <v>271</v>
      </c>
      <c r="V185" s="9">
        <v>253</v>
      </c>
    </row>
    <row r="186" spans="1:22" ht="12.75">
      <c r="A186" s="4" t="s">
        <v>189</v>
      </c>
      <c r="L186" s="9">
        <v>991</v>
      </c>
      <c r="M186" s="9">
        <v>928</v>
      </c>
      <c r="N186" s="9">
        <v>1139</v>
      </c>
      <c r="O186" s="9">
        <v>1030</v>
      </c>
      <c r="P186" s="9">
        <v>889</v>
      </c>
      <c r="Q186" s="9">
        <v>938</v>
      </c>
      <c r="R186" s="9">
        <v>1210</v>
      </c>
      <c r="S186" s="9">
        <v>1203</v>
      </c>
      <c r="T186" s="9">
        <v>1136</v>
      </c>
      <c r="U186" s="9">
        <v>1085</v>
      </c>
      <c r="V186" s="9">
        <v>925</v>
      </c>
    </row>
    <row r="187" ht="12.75">
      <c r="A187" s="4"/>
    </row>
    <row r="188" spans="1:22" ht="12.75">
      <c r="A188" s="4" t="s">
        <v>76</v>
      </c>
      <c r="B188" s="31">
        <f>'Working counts'!B151/(SUM('Working counts'!B$160:B$163)+'Working counts'!B$164+'Working counts'!B$181+'Working counts'!B$165+'Working counts'!B$151)</f>
        <v>0.0676473032493975</v>
      </c>
      <c r="C188" s="31">
        <f>'Working counts'!C151/(SUM('Working counts'!C$160:C$163)+'Working counts'!C$164+'Working counts'!C$181+'Working counts'!C$165+'Working counts'!C$151)</f>
        <v>0.04854730568661535</v>
      </c>
      <c r="D188" s="31">
        <f>'Working counts'!D151/(SUM('Working counts'!D$160:D$163)+'Working counts'!D$164+'Working counts'!D$181+'Working counts'!D$188+'Working counts'!D$151)</f>
        <v>0.05111138004760176</v>
      </c>
      <c r="E188" s="31">
        <f>'Working counts'!E151/(SUM('Working counts'!E$160:E$163)+'Working counts'!E$164+'Working counts'!E$181+'Working counts'!E$188+'Working counts'!E$151)</f>
        <v>0.050558238973790484</v>
      </c>
      <c r="F188" s="31">
        <f>'Working counts'!F151/(SUM('Working counts'!F$160:F$163)+'Working counts'!F$164+'Working counts'!F$181+'Working counts'!F$188+'Working counts'!F$151)</f>
        <v>0.050948467261325125</v>
      </c>
      <c r="G188" s="31">
        <f>'Working counts'!G151/(SUM('Working counts'!G$160:G$163)+'Working counts'!G$164+'Working counts'!G$181+'Working counts'!G$188+'Working counts'!G$151)</f>
        <v>0.04920355337724001</v>
      </c>
      <c r="H188" s="31">
        <f>'Working counts'!H151/(SUM('Working counts'!H$160:H$163)+'Working counts'!H$164+'Working counts'!H$181+'Working counts'!H$188+'Working counts'!H$151)</f>
        <v>0.04879250862493839</v>
      </c>
      <c r="I188" s="31">
        <f>'Working counts'!I151/(SUM('Working counts'!I$160:I$163)+'Working counts'!I$164+'Working counts'!I$181+'Working counts'!I$188+'Working counts'!I$151)</f>
        <v>0.04935348067959705</v>
      </c>
      <c r="J188" s="31">
        <f>'Working counts'!J151/(SUM('Working counts'!J$160:J$163)+'Working counts'!J$164+'Working counts'!J$181+'Working counts'!J$188+'Working counts'!J$151)</f>
        <v>0.047583162880826785</v>
      </c>
      <c r="K188" s="31">
        <f>'Working counts'!K151/(SUM('Working counts'!K$160:K$163)+'Working counts'!K$164+'Working counts'!K$181+'Working counts'!K$188+'Working counts'!K$151)</f>
        <v>0.04842389050186645</v>
      </c>
      <c r="L188" s="31">
        <f>'Working counts'!L151/(SUM('Working counts'!L$160:L$163)+'Working counts'!L$164+'Working counts'!L$181+'Working counts'!L$188+'Working counts'!L$151)</f>
        <v>0.06427328799620434</v>
      </c>
      <c r="M188" s="31">
        <f>'Working counts'!M151/(SUM('Working counts'!M$160:M$163)+'Working counts'!M$164+'Working counts'!M$181+'Working counts'!M$188+'Working counts'!M$151)</f>
        <v>0.06380546285996787</v>
      </c>
      <c r="N188" s="31">
        <f>'Working counts'!N151/(SUM('Working counts'!N$160:N$163)+'Working counts'!N$164+'Working counts'!N$181+'Working counts'!N$188+'Working counts'!N$151)</f>
        <v>0.06685863403221452</v>
      </c>
      <c r="O188" s="31">
        <f>'Working counts'!O151/(SUM('Working counts'!O$160:O$163)+'Working counts'!O$164+'Working counts'!O$181+'Working counts'!O$188+'Working counts'!O$151)</f>
        <v>0.07700280453603219</v>
      </c>
      <c r="P188" s="31">
        <f>'Working counts'!P151/(SUM('Working counts'!P$160:P$163)+'Working counts'!P$164+'Working counts'!P$181+'Working counts'!P$188+'Working counts'!P$151)</f>
        <v>0.07323140395583061</v>
      </c>
      <c r="Q188" s="31">
        <f>'Working counts'!Q151/(SUM('Working counts'!Q$160:Q$163)+'Working counts'!Q$164+'Working counts'!Q$181+'Working counts'!Q$188+'Working counts'!Q$151)</f>
        <v>0.07002240477968634</v>
      </c>
      <c r="R188" s="31">
        <f>'Working counts'!R151/(SUM('Working counts'!R$160:R$163)+'Working counts'!R$164+'Working counts'!R$181+'Working counts'!R$188+'Working counts'!R$151)</f>
        <v>0.06586771844660194</v>
      </c>
      <c r="S188" s="31">
        <f>'Working counts'!S151/(SUM('Working counts'!S$160:S$163)+'Working counts'!S$164+'Working counts'!S$181+'Working counts'!S$188+'Working counts'!S$151)</f>
        <v>0.06377744707990403</v>
      </c>
      <c r="T188" s="31">
        <f>'Working counts'!T151/(SUM('Working counts'!T$160:T$163)+'Working counts'!T$164+'Working counts'!T$181+'Working counts'!T$188+'Working counts'!T$151)</f>
        <v>0.06738511465572666</v>
      </c>
      <c r="U188" s="31">
        <f>'Working counts'!U151/(SUM('Working counts'!U$160:U$163)+'Working counts'!U$164+'Working counts'!U$181+'Working counts'!U$188+'Working counts'!U$151)</f>
        <v>0.06857743561203351</v>
      </c>
      <c r="V188" s="31">
        <f>'Working counts'!V151/(SUM('Working counts'!V$160:V$163)+'Working counts'!V$164+'Working counts'!V$181+'Working counts'!V$188+'Working counts'!V$151)</f>
        <v>0.06476872647808668</v>
      </c>
    </row>
    <row r="189" spans="1:22" ht="12.75">
      <c r="A189" s="25" t="s">
        <v>255</v>
      </c>
      <c r="B189" s="31">
        <f>'Working counts'!B160/(SUM('Working counts'!B$160:B$163)+'Working counts'!B$165+'Working counts'!B$151+'Working counts'!B$164)</f>
        <v>0.07707969749854567</v>
      </c>
      <c r="C189" s="31">
        <f>'Working counts'!C160/(SUM('Working counts'!C$160:C$163)+'Working counts'!C$165+'Working counts'!C$151+'Working counts'!C$164)</f>
        <v>0.08041552851585133</v>
      </c>
      <c r="D189" s="31">
        <f>'Working counts'!D160/(SUM('Working counts'!D$160:D$163)+'Working counts'!D$164+'Working counts'!D$181+'Working counts'!D$188+'Working counts'!D$151)</f>
        <v>0.06898220985114366</v>
      </c>
      <c r="E189" s="31">
        <f>'Working counts'!E160/(SUM('Working counts'!E$160:E$163)+'Working counts'!E$164+'Working counts'!E$181+'Working counts'!E$188+'Working counts'!E$151)</f>
        <v>0.06203974978224721</v>
      </c>
      <c r="F189" s="31">
        <f>'Working counts'!F160/(SUM('Working counts'!F$160:F$163)+'Working counts'!F$164+'Working counts'!F$181+'Working counts'!F$188+'Working counts'!F$151)</f>
        <v>0.056908035679507654</v>
      </c>
      <c r="G189" s="31">
        <f>'Working counts'!G160/(SUM('Working counts'!G$160:G$163)+'Working counts'!G$164+'Working counts'!G$181+'Working counts'!G$188+'Working counts'!G$151)</f>
        <v>0.05119466993413999</v>
      </c>
      <c r="H189" s="31">
        <f>'Working counts'!H160/(SUM('Working counts'!H$160:H$163)+'Working counts'!H$164+'Working counts'!H$181+'Working counts'!H$188+'Working counts'!H$151)</f>
        <v>0.04735185957462941</v>
      </c>
      <c r="I189" s="31">
        <f>'Working counts'!I160/(SUM('Working counts'!I$160:I$163)+'Working counts'!I$164+'Working counts'!I$181+'Working counts'!I$188+'Working counts'!I$151)</f>
        <v>0.04627123740790859</v>
      </c>
      <c r="J189" s="31">
        <f>'Working counts'!J160/(SUM('Working counts'!J$160:J$163)+'Working counts'!J$164+'Working counts'!J$181+'Working counts'!J$188+'Working counts'!J$151)</f>
        <v>0.04058563892776402</v>
      </c>
      <c r="K189" s="31">
        <f>'Working counts'!K160/(SUM('Working counts'!K$160:K$163)+'Working counts'!K$164+'Working counts'!K$181+'Working counts'!K$188+'Working counts'!K$151)</f>
        <v>0.03722521775197014</v>
      </c>
      <c r="L189" s="31">
        <f>'Working counts'!L160/(SUM('Working counts'!L$160:L$163)+'Working counts'!L$164+'Working counts'!L$181+'Working counts'!L$188+'Working counts'!L$151)</f>
        <v>0.03855764668669935</v>
      </c>
      <c r="M189" s="31">
        <f>'Working counts'!M160/(SUM('Working counts'!M$160:M$163)+'Working counts'!M$164+'Working counts'!M$181+'Working counts'!M$188+'Working counts'!M$151)</f>
        <v>0.034699048325299714</v>
      </c>
      <c r="N189" s="31">
        <f>'Working counts'!N160/(SUM('Working counts'!N$160:N$163)+'Working counts'!N$164+'Working counts'!N$181+'Working counts'!N$188+'Working counts'!N$151)</f>
        <v>0.04118299889018867</v>
      </c>
      <c r="O189" s="31">
        <f>'Working counts'!O160/(SUM('Working counts'!O$160:O$163)+'Working counts'!O$164+'Working counts'!O$181+'Working counts'!O$188+'Working counts'!O$151)</f>
        <v>0.038135593220338986</v>
      </c>
      <c r="P189" s="31">
        <f>'Working counts'!P160/(SUM('Working counts'!P$160:P$163)+'Working counts'!P$164+'Working counts'!P$181+'Working counts'!P$188+'Working counts'!P$151)</f>
        <v>0.03170124984831938</v>
      </c>
      <c r="Q189" s="31">
        <f>'Working counts'!Q160/(SUM('Working counts'!Q$160:Q$163)+'Working counts'!Q$164+'Working counts'!Q$181+'Working counts'!Q$188+'Working counts'!Q$151)</f>
        <v>0.03372666168782674</v>
      </c>
      <c r="R189" s="31">
        <f>'Working counts'!R160/(SUM('Working counts'!R$160:R$163)+'Working counts'!R$164+'Working counts'!R$181+'Working counts'!R$188+'Working counts'!R$151)</f>
        <v>0.04754247572815534</v>
      </c>
      <c r="S189" s="31">
        <f>'Working counts'!S160/(SUM('Working counts'!S$160:S$163)+'Working counts'!S$164+'Working counts'!S$181+'Working counts'!S$188+'Working counts'!S$151)</f>
        <v>0.04543383849120782</v>
      </c>
      <c r="T189" s="31">
        <f>'Working counts'!T160/(SUM('Working counts'!T$160:T$163)+'Working counts'!T$164+'Working counts'!T$181+'Working counts'!T$188+'Working counts'!T$151)</f>
        <v>0.04430089091632734</v>
      </c>
      <c r="U189" s="31">
        <f>'Working counts'!U160/(SUM('Working counts'!U$160:U$163)+'Working counts'!U$164+'Working counts'!U$181+'Working counts'!U$188+'Working counts'!U$151)</f>
        <v>0.041925609869214356</v>
      </c>
      <c r="V189" s="31">
        <f>'Working counts'!V160/(SUM('Working counts'!V$160:V$163)+'Working counts'!V$164+'Working counts'!V$181+'Working counts'!V$188+'Working counts'!V$151)</f>
        <v>0.03575330824329246</v>
      </c>
    </row>
    <row r="190" spans="1:22" ht="12.75">
      <c r="A190" s="4" t="s">
        <v>190</v>
      </c>
      <c r="B190" s="31">
        <f>'Working counts'!B161/(SUM('Working counts'!B$160:B$163)+'Working counts'!B$165+'Working counts'!B$151+'Working counts'!B$164)</f>
        <v>0.1599351782597856</v>
      </c>
      <c r="C190" s="31">
        <f>'Working counts'!C161/(SUM('Working counts'!C$160:C$163)+'Working counts'!C$165+'Working counts'!C$151+'Working counts'!C$164)</f>
        <v>0.1573959109345253</v>
      </c>
      <c r="D190" s="31">
        <f>'Working counts'!D161/(SUM('Working counts'!D$160:D$163)+'Working counts'!D$164+'Working counts'!D$181+'Working counts'!D$188+'Working counts'!D$151)</f>
        <v>0.14518536447617894</v>
      </c>
      <c r="E190" s="31">
        <f>'Working counts'!E161/(SUM('Working counts'!E$160:E$163)+'Working counts'!E$164+'Working counts'!E$181+'Working counts'!E$188+'Working counts'!E$151)</f>
        <v>0.13971810911394408</v>
      </c>
      <c r="F190" s="31">
        <f>'Working counts'!F161/(SUM('Working counts'!F$160:F$163)+'Working counts'!F$164+'Working counts'!F$181+'Working counts'!F$188+'Working counts'!F$151)</f>
        <v>0.1257741596229502</v>
      </c>
      <c r="G190" s="31">
        <f>'Working counts'!G161/(SUM('Working counts'!G$160:G$163)+'Working counts'!G$164+'Working counts'!G$181+'Working counts'!G$188+'Working counts'!G$151)</f>
        <v>0.12547863378771634</v>
      </c>
      <c r="H190" s="31">
        <f>'Working counts'!H161/(SUM('Working counts'!H$160:H$163)+'Working counts'!H$164+'Working counts'!H$181+'Working counts'!H$188+'Working counts'!H$151)</f>
        <v>0.11229480228987375</v>
      </c>
      <c r="I190" s="31">
        <f>'Working counts'!I161/(SUM('Working counts'!I$160:I$163)+'Working counts'!I$164+'Working counts'!I$181+'Working counts'!I$188+'Working counts'!I$151)</f>
        <v>0.10648774620357841</v>
      </c>
      <c r="J190" s="31">
        <f>'Working counts'!J161/(SUM('Working counts'!J$160:J$163)+'Working counts'!J$164+'Working counts'!J$181+'Working counts'!J$188+'Working counts'!J$151)</f>
        <v>0.1023432734058205</v>
      </c>
      <c r="K190" s="31">
        <f>'Working counts'!K161/(SUM('Working counts'!K$160:K$163)+'Working counts'!K$164+'Working counts'!K$181+'Working counts'!K$188+'Working counts'!K$151)</f>
        <v>0.09650214295589658</v>
      </c>
      <c r="L190" s="31">
        <f>'Working counts'!L161/(SUM('Working counts'!L$160:L$163)+'Working counts'!L$164+'Working counts'!L$181+'Working counts'!L$188+'Working counts'!L$151)</f>
        <v>0.09527123201012178</v>
      </c>
      <c r="M190" s="31">
        <f>'Working counts'!M161/(SUM('Working counts'!M$160:M$163)+'Working counts'!M$164+'Working counts'!M$181+'Working counts'!M$188+'Working counts'!M$151)</f>
        <v>0.08138672599184278</v>
      </c>
      <c r="N190" s="31">
        <f>'Working counts'!N161/(SUM('Working counts'!N$160:N$163)+'Working counts'!N$164+'Working counts'!N$181+'Working counts'!N$188+'Working counts'!N$151)</f>
        <v>0.09652359098953178</v>
      </c>
      <c r="O190" s="31">
        <f>'Working counts'!O161/(SUM('Working counts'!O$160:O$163)+'Working counts'!O$164+'Working counts'!O$181+'Working counts'!O$188+'Working counts'!O$151)</f>
        <v>0.08337397878307523</v>
      </c>
      <c r="P190" s="31">
        <f>'Working counts'!P161/(SUM('Working counts'!P$160:P$163)+'Working counts'!P$164+'Working counts'!P$181+'Working counts'!P$188+'Working counts'!P$151)</f>
        <v>0.08639728188326659</v>
      </c>
      <c r="Q190" s="31">
        <f>'Working counts'!Q161/(SUM('Working counts'!Q$160:Q$163)+'Working counts'!Q$164+'Working counts'!Q$181+'Working counts'!Q$188+'Working counts'!Q$151)</f>
        <v>0.08188200149365198</v>
      </c>
      <c r="R190" s="31">
        <f>'Working counts'!R161/(SUM('Working counts'!R$160:R$163)+'Working counts'!R$164+'Working counts'!R$181+'Working counts'!R$188+'Working counts'!R$151)</f>
        <v>0.08798543689320389</v>
      </c>
      <c r="S190" s="31">
        <f>'Working counts'!S161/(SUM('Working counts'!S$160:S$163)+'Working counts'!S$164+'Working counts'!S$181+'Working counts'!S$188+'Working counts'!S$151)</f>
        <v>0.09481580465879066</v>
      </c>
      <c r="T190" s="31">
        <f>'Working counts'!T161/(SUM('Working counts'!T$160:T$163)+'Working counts'!T$164+'Working counts'!T$181+'Working counts'!T$188+'Working counts'!T$151)</f>
        <v>0.0872546918531672</v>
      </c>
      <c r="U190" s="31">
        <f>'Working counts'!U161/(SUM('Working counts'!U$160:U$163)+'Working counts'!U$164+'Working counts'!U$181+'Working counts'!U$188+'Working counts'!U$151)</f>
        <v>0.07859505920910244</v>
      </c>
      <c r="V190" s="31">
        <f>'Working counts'!V161/(SUM('Working counts'!V$160:V$163)+'Working counts'!V$164+'Working counts'!V$181+'Working counts'!V$188+'Working counts'!V$151)</f>
        <v>0.07159766905426733</v>
      </c>
    </row>
    <row r="191" spans="1:22" ht="12.75">
      <c r="A191" s="4" t="s">
        <v>200</v>
      </c>
      <c r="B191" s="31">
        <f>'Working counts'!B162/(SUM('Working counts'!B$160:B$163)+'Working counts'!B$165+'Working counts'!B$151+'Working counts'!B$164)</f>
        <v>0.17609906091581484</v>
      </c>
      <c r="C191" s="31">
        <f>'Working counts'!C162/(SUM('Working counts'!C$160:C$163)+'Working counts'!C$165+'Working counts'!C$151+'Working counts'!C$164)</f>
        <v>0.1754821620726761</v>
      </c>
      <c r="D191" s="31">
        <f>'Working counts'!D162/(SUM('Working counts'!D$160:D$163)+'Working counts'!D$164+'Working counts'!D$181+'Working counts'!D$188+'Working counts'!D$151)</f>
        <v>0.16519423938037034</v>
      </c>
      <c r="E191" s="31">
        <f>'Working counts'!E162/(SUM('Working counts'!E$160:E$163)+'Working counts'!E$164+'Working counts'!E$181+'Working counts'!E$188+'Working counts'!E$151)</f>
        <v>0.16414601314435032</v>
      </c>
      <c r="F191" s="31">
        <f>'Working counts'!F162/(SUM('Working counts'!F$160:F$163)+'Working counts'!F$164+'Working counts'!F$181+'Working counts'!F$188+'Working counts'!F$151)</f>
        <v>0.16172632726989444</v>
      </c>
      <c r="G191" s="31">
        <f>'Working counts'!G162/(SUM('Working counts'!G$160:G$163)+'Working counts'!G$164+'Working counts'!G$181+'Working counts'!G$188+'Working counts'!G$151)</f>
        <v>0.1562643590136315</v>
      </c>
      <c r="H191" s="31">
        <f>'Working counts'!H162/(SUM('Working counts'!H$160:H$163)+'Working counts'!H$164+'Working counts'!H$181+'Working counts'!H$188+'Working counts'!H$151)</f>
        <v>0.15577965651893697</v>
      </c>
      <c r="I191" s="31">
        <f>'Working counts'!I162/(SUM('Working counts'!I$160:I$163)+'Working counts'!I$164+'Working counts'!I$181+'Working counts'!I$188+'Working counts'!I$151)</f>
        <v>0.15091715531499023</v>
      </c>
      <c r="J191" s="31">
        <f>'Working counts'!J162/(SUM('Working counts'!J$160:J$163)+'Working counts'!J$164+'Working counts'!J$181+'Working counts'!J$188+'Working counts'!J$151)</f>
        <v>0.14655327089388884</v>
      </c>
      <c r="K191" s="31">
        <f>'Working counts'!K162/(SUM('Working counts'!K$160:K$163)+'Working counts'!K$164+'Working counts'!K$181+'Working counts'!K$188+'Working counts'!K$151)</f>
        <v>0.13186091524955068</v>
      </c>
      <c r="L191" s="31">
        <f>'Working counts'!L162/(SUM('Working counts'!L$160:L$163)+'Working counts'!L$164+'Working counts'!L$181+'Working counts'!L$188+'Working counts'!L$151)</f>
        <v>0.13601138699984186</v>
      </c>
      <c r="M191" s="31">
        <f>'Working counts'!M162/(SUM('Working counts'!M$160:M$163)+'Working counts'!M$164+'Working counts'!M$181+'Working counts'!M$188+'Working counts'!M$151)</f>
        <v>0.12022617723396366</v>
      </c>
      <c r="N191" s="31">
        <f>'Working counts'!N162/(SUM('Working counts'!N$160:N$163)+'Working counts'!N$164+'Working counts'!N$181+'Working counts'!N$188+'Working counts'!N$151)</f>
        <v>0.1335073037583611</v>
      </c>
      <c r="O191" s="31">
        <f>'Working counts'!O162/(SUM('Working counts'!O$160:O$163)+'Working counts'!O$164+'Working counts'!O$181+'Working counts'!O$188+'Working counts'!O$151)</f>
        <v>0.13001463236190708</v>
      </c>
      <c r="P191" s="31">
        <f>'Working counts'!P162/(SUM('Working counts'!P$160:P$163)+'Working counts'!P$164+'Working counts'!P$181+'Working counts'!P$188+'Working counts'!P$151)</f>
        <v>0.12386239534037131</v>
      </c>
      <c r="Q191" s="31">
        <f>'Working counts'!Q162/(SUM('Working counts'!Q$160:Q$163)+'Working counts'!Q$164+'Working counts'!Q$181+'Working counts'!Q$188+'Working counts'!Q$151)</f>
        <v>0.12053771471247199</v>
      </c>
      <c r="R191" s="31">
        <f>'Working counts'!R162/(SUM('Working counts'!R$160:R$163)+'Working counts'!R$164+'Working counts'!R$181+'Working counts'!R$188+'Working counts'!R$151)</f>
        <v>0.12557645631067962</v>
      </c>
      <c r="S191" s="31">
        <f>'Working counts'!S162/(SUM('Working counts'!S$160:S$163)+'Working counts'!S$164+'Working counts'!S$181+'Working counts'!S$188+'Working counts'!S$151)</f>
        <v>0.12834451969508306</v>
      </c>
      <c r="T191" s="31">
        <f>'Working counts'!T162/(SUM('Working counts'!T$160:T$163)+'Working counts'!T$164+'Working counts'!T$181+'Working counts'!T$188+'Working counts'!T$151)</f>
        <v>0.12142179224198635</v>
      </c>
      <c r="U191" s="31">
        <f>'Working counts'!U162/(SUM('Working counts'!U$160:U$163)+'Working counts'!U$164+'Working counts'!U$181+'Working counts'!U$188+'Working counts'!U$151)</f>
        <v>0.10886436013975204</v>
      </c>
      <c r="V191" s="31">
        <f>'Working counts'!V162/(SUM('Working counts'!V$160:V$163)+'Working counts'!V$164+'Working counts'!V$181+'Working counts'!V$188+'Working counts'!V$151)</f>
        <v>0.10507466310549958</v>
      </c>
    </row>
    <row r="192" spans="1:22" ht="12.75">
      <c r="A192" s="4" t="s">
        <v>191</v>
      </c>
      <c r="B192" s="31">
        <f>'Working counts'!B163/(SUM('Working counts'!B$160:B$163)+'Working counts'!B$165+'Working counts'!B$151+'Working counts'!B$164)</f>
        <v>0.13803706473863542</v>
      </c>
      <c r="C192" s="31">
        <f>'Working counts'!C163/(SUM('Working counts'!C$160:C$163)+'Working counts'!C$165+'Working counts'!C$151+'Working counts'!C$164)</f>
        <v>0.13810942802748116</v>
      </c>
      <c r="D192" s="31">
        <f>'Working counts'!D163/(SUM('Working counts'!D$160:D$163)+'Working counts'!D$164+'Working counts'!D$181+'Working counts'!D$188+'Working counts'!D$151)</f>
        <v>0.14409617168905564</v>
      </c>
      <c r="E192" s="31">
        <f>'Working counts'!E163/(SUM('Working counts'!E$160:E$163)+'Working counts'!E$164+'Working counts'!E$181+'Working counts'!E$188+'Working counts'!E$151)</f>
        <v>0.14142054002692217</v>
      </c>
      <c r="F192" s="31">
        <f>'Working counts'!F163/(SUM('Working counts'!F$160:F$163)+'Working counts'!F$164+'Working counts'!F$181+'Working counts'!F$188+'Working counts'!F$151)</f>
        <v>0.14271803061582208</v>
      </c>
      <c r="G192" s="31">
        <f>'Working counts'!G163/(SUM('Working counts'!G$160:G$163)+'Working counts'!G$164+'Working counts'!G$181+'Working counts'!G$188+'Working counts'!G$151)</f>
        <v>0.14623219482309696</v>
      </c>
      <c r="H192" s="31">
        <f>'Working counts'!H163/(SUM('Working counts'!H$160:H$163)+'Working counts'!H$164+'Working counts'!H$181+'Working counts'!H$188+'Working counts'!H$151)</f>
        <v>0.1455813777154339</v>
      </c>
      <c r="I192" s="31">
        <f>'Working counts'!I163/(SUM('Working counts'!I$160:I$163)+'Working counts'!I$164+'Working counts'!I$181+'Working counts'!I$188+'Working counts'!I$151)</f>
        <v>0.14347466546384002</v>
      </c>
      <c r="J192" s="31">
        <f>'Working counts'!J163/(SUM('Working counts'!J$160:J$163)+'Working counts'!J$164+'Working counts'!J$181+'Working counts'!J$188+'Working counts'!J$151)</f>
        <v>0.14813219937560557</v>
      </c>
      <c r="K192" s="31">
        <f>'Working counts'!K163/(SUM('Working counts'!K$160:K$163)+'Working counts'!K$164+'Working counts'!K$181+'Working counts'!K$188+'Working counts'!K$151)</f>
        <v>0.13521360431356283</v>
      </c>
      <c r="L192" s="31">
        <f>'Working counts'!L163/(SUM('Working counts'!L$160:L$163)+'Working counts'!L$164+'Working counts'!L$181+'Working counts'!L$188+'Working counts'!L$151)</f>
        <v>0.13974379250355845</v>
      </c>
      <c r="M192" s="31">
        <f>'Working counts'!M163/(SUM('Working counts'!M$160:M$163)+'Working counts'!M$164+'Working counts'!M$181+'Working counts'!M$188+'Working counts'!M$151)</f>
        <v>0.12690025954764553</v>
      </c>
      <c r="N192" s="31">
        <f>'Working counts'!N163/(SUM('Working counts'!N$160:N$163)+'Working counts'!N$164+'Working counts'!N$181+'Working counts'!N$188+'Working counts'!N$151)</f>
        <v>0.13857644200485916</v>
      </c>
      <c r="O192" s="31">
        <f>'Working counts'!O163/(SUM('Working counts'!O$160:O$163)+'Working counts'!O$164+'Working counts'!O$181+'Working counts'!O$188+'Working counts'!O$151)</f>
        <v>0.12879526886965004</v>
      </c>
      <c r="P192" s="31">
        <f>'Working counts'!P163/(SUM('Working counts'!P$160:P$163)+'Working counts'!P$164+'Working counts'!P$181+'Working counts'!P$188+'Working counts'!P$151)</f>
        <v>0.12480281519233102</v>
      </c>
      <c r="Q192" s="31">
        <f>'Working counts'!Q163/(SUM('Working counts'!Q$160:Q$163)+'Working counts'!Q$164+'Working counts'!Q$181+'Working counts'!Q$188+'Working counts'!Q$151)</f>
        <v>0.12379387602688574</v>
      </c>
      <c r="R192" s="31">
        <f>'Working counts'!R163/(SUM('Working counts'!R$160:R$163)+'Working counts'!R$164+'Working counts'!R$181+'Working counts'!R$188+'Working counts'!R$151)</f>
        <v>0.12424150485436893</v>
      </c>
      <c r="S192" s="31">
        <f>'Working counts'!S163/(SUM('Working counts'!S$160:S$163)+'Working counts'!S$164+'Working counts'!S$181+'Working counts'!S$188+'Working counts'!S$151)</f>
        <v>0.12861785161113978</v>
      </c>
      <c r="T192" s="31">
        <f>'Working counts'!T163/(SUM('Working counts'!T$160:T$163)+'Working counts'!T$164+'Working counts'!T$181+'Working counts'!T$188+'Working counts'!T$151)</f>
        <v>0.12466705446529712</v>
      </c>
      <c r="U192" s="31">
        <f>'Working counts'!U163/(SUM('Working counts'!U$160:U$163)+'Working counts'!U$164+'Working counts'!U$181+'Working counts'!U$188+'Working counts'!U$151)</f>
        <v>0.12460192313638191</v>
      </c>
      <c r="V192" s="31">
        <f>'Working counts'!V163/(SUM('Working counts'!V$160:V$163)+'Working counts'!V$164+'Working counts'!V$181+'Working counts'!V$188+'Working counts'!V$151)</f>
        <v>0.11102343086075027</v>
      </c>
    </row>
    <row r="193" spans="1:22" ht="12.75">
      <c r="A193" s="25" t="s">
        <v>256</v>
      </c>
      <c r="B193" s="31">
        <f>'Working counts'!B164/(SUM('Working counts'!B$160:B$163)+'Working counts'!B$165+'Working counts'!B$151+'Working counts'!B$164)</f>
        <v>0.15399318540679796</v>
      </c>
      <c r="C193" s="31">
        <f>'Working counts'!C164/(SUM('Working counts'!C$160:C$163)+'Working counts'!C$165+'Working counts'!C$151+'Working counts'!C$164)</f>
        <v>0.16078966972932704</v>
      </c>
      <c r="D193" s="31">
        <f>'Working counts'!D164/(SUM('Working counts'!D$160:D$163)+'Working counts'!D$164+'Working counts'!D$181+'Working counts'!D$188+'Working counts'!D$151)</f>
        <v>0.1609584896526685</v>
      </c>
      <c r="E193" s="31">
        <f>'Working counts'!E164/(SUM('Working counts'!E$160:E$163)+'Working counts'!E$164+'Working counts'!E$181+'Working counts'!E$188+'Working counts'!E$151)</f>
        <v>0.1702826827143875</v>
      </c>
      <c r="F193" s="31">
        <f>'Working counts'!F164/(SUM('Working counts'!F$160:F$163)+'Working counts'!F$164+'Working counts'!F$181+'Working counts'!F$188+'Working counts'!F$151)</f>
        <v>0.17434658980251627</v>
      </c>
      <c r="G193" s="31">
        <f>'Working counts'!G164/(SUM('Working counts'!G$160:G$163)+'Working counts'!G$164+'Working counts'!G$181+'Working counts'!G$188+'Working counts'!G$151)</f>
        <v>0.17977485066625823</v>
      </c>
      <c r="H193" s="31">
        <f>'Working counts'!H164/(SUM('Working counts'!H$160:H$163)+'Working counts'!H$164+'Working counts'!H$181+'Working counts'!H$188+'Working counts'!H$151)</f>
        <v>0.18857337832202298</v>
      </c>
      <c r="I193" s="31">
        <f>'Working counts'!I164/(SUM('Working counts'!I$160:I$163)+'Working counts'!I$164+'Working counts'!I$181+'Working counts'!I$188+'Working counts'!I$151)</f>
        <v>0.1846714779732371</v>
      </c>
      <c r="J193" s="31">
        <f>'Working counts'!J164/(SUM('Working counts'!J$160:J$163)+'Working counts'!J$164+'Working counts'!J$181+'Working counts'!J$188+'Working counts'!J$151)</f>
        <v>0.18764129615674455</v>
      </c>
      <c r="K193" s="31">
        <f>'Working counts'!K164/(SUM('Working counts'!K$160:K$163)+'Working counts'!K$164+'Working counts'!K$181+'Working counts'!K$188+'Working counts'!K$151)</f>
        <v>0.19697912346191068</v>
      </c>
      <c r="L193" s="31">
        <f>'Working counts'!L164/(SUM('Working counts'!L$160:L$163)+'Working counts'!L$164+'Working counts'!L$181+'Working counts'!L$188+'Working counts'!L$151)</f>
        <v>0.19981021666930254</v>
      </c>
      <c r="M193" s="31">
        <f>'Working counts'!M164/(SUM('Working counts'!M$160:M$163)+'Working counts'!M$164+'Working counts'!M$181+'Working counts'!M$188+'Working counts'!M$151)</f>
        <v>0.21122234581633914</v>
      </c>
      <c r="N193" s="31">
        <f>'Working counts'!N164/(SUM('Working counts'!N$160:N$163)+'Working counts'!N$164+'Working counts'!N$181+'Working counts'!N$188+'Working counts'!N$151)</f>
        <v>0.21110411230090884</v>
      </c>
      <c r="O193" s="31">
        <f>'Working counts'!O164/(SUM('Working counts'!O$160:O$163)+'Working counts'!O$164+'Working counts'!O$181+'Working counts'!O$188+'Working counts'!O$151)</f>
        <v>0.20692598463602</v>
      </c>
      <c r="P193" s="31">
        <f>'Working counts'!P164/(SUM('Working counts'!P$160:P$163)+'Working counts'!P$164+'Working counts'!P$181+'Working counts'!P$188+'Working counts'!P$151)</f>
        <v>0.20307001577478462</v>
      </c>
      <c r="Q193" s="31">
        <f>'Working counts'!Q164/(SUM('Working counts'!Q$160:Q$163)+'Working counts'!Q$164+'Working counts'!Q$181+'Working counts'!Q$188+'Working counts'!Q$151)</f>
        <v>0.20684092606422705</v>
      </c>
      <c r="R193" s="31">
        <f>'Working counts'!R164/(SUM('Working counts'!R$160:R$163)+'Working counts'!R$164+'Working counts'!R$181+'Working counts'!R$188+'Working counts'!R$151)</f>
        <v>0.18844053398058253</v>
      </c>
      <c r="S193" s="31">
        <f>'Working counts'!S164/(SUM('Working counts'!S$160:S$163)+'Working counts'!S$164+'Working counts'!S$181+'Working counts'!S$188+'Working counts'!S$151)</f>
        <v>0.19418714125186018</v>
      </c>
      <c r="T193" s="31">
        <f>'Working counts'!T164/(SUM('Working counts'!T$160:T$163)+'Working counts'!T$164+'Working counts'!T$181+'Working counts'!T$188+'Working counts'!T$151)</f>
        <v>0.19232771025319167</v>
      </c>
      <c r="U193" s="31">
        <f>'Working counts'!U164/(SUM('Working counts'!U$160:U$163)+'Working counts'!U$164+'Working counts'!U$181+'Working counts'!U$188+'Working counts'!U$151)</f>
        <v>0.19763163590266827</v>
      </c>
      <c r="V193" s="31">
        <f>'Working counts'!V164/(SUM('Working counts'!V$160:V$163)+'Working counts'!V$164+'Working counts'!V$181+'Working counts'!V$188+'Working counts'!V$151)</f>
        <v>0.20034599975719317</v>
      </c>
    </row>
    <row r="194" spans="1:22" ht="12.75">
      <c r="A194" s="25" t="s">
        <v>328</v>
      </c>
      <c r="B194" s="31">
        <f>'Working counts'!B165/(SUM('Working counts'!B$160:B$163)+'Working counts'!B$165+'Working counts'!B$151+'Working counts'!B$164)</f>
        <v>0.227208509931023</v>
      </c>
      <c r="C194" s="31">
        <f>'Working counts'!C165/(SUM('Working counts'!C$160:C$163)+'Working counts'!C$165+'Working counts'!C$151+'Working counts'!C$164)</f>
        <v>0.23925999503352371</v>
      </c>
      <c r="D194" s="31">
        <f aca="true" t="shared" si="15" ref="D194:V194">SUM(D197:D198)</f>
        <v>0.26447214490298115</v>
      </c>
      <c r="E194" s="31">
        <f t="shared" si="15"/>
        <v>0.27183466624435826</v>
      </c>
      <c r="F194" s="31">
        <f t="shared" si="15"/>
        <v>0.2875783897479843</v>
      </c>
      <c r="G194" s="31">
        <f t="shared" si="15"/>
        <v>0.291851738397917</v>
      </c>
      <c r="H194" s="31">
        <f t="shared" si="15"/>
        <v>0.3016264169541646</v>
      </c>
      <c r="I194" s="31">
        <f t="shared" si="15"/>
        <v>0.3188242369568486</v>
      </c>
      <c r="J194" s="31">
        <f t="shared" si="15"/>
        <v>0.3271611583593498</v>
      </c>
      <c r="K194" s="31">
        <f t="shared" si="15"/>
        <v>0.35379510576524265</v>
      </c>
      <c r="L194" s="31">
        <f t="shared" si="15"/>
        <v>0.32633243713427174</v>
      </c>
      <c r="M194" s="31">
        <f t="shared" si="15"/>
        <v>0.36175998022494127</v>
      </c>
      <c r="N194" s="31">
        <f t="shared" si="15"/>
        <v>0.31224691802393595</v>
      </c>
      <c r="O194" s="31">
        <f t="shared" si="15"/>
        <v>0.3357517375929765</v>
      </c>
      <c r="P194" s="31">
        <f t="shared" si="15"/>
        <v>0.35693483800509646</v>
      </c>
      <c r="Q194" s="31">
        <f t="shared" si="15"/>
        <v>0.3631964152352502</v>
      </c>
      <c r="R194" s="31">
        <f t="shared" si="15"/>
        <v>0.36034587378640776</v>
      </c>
      <c r="S194" s="31">
        <f t="shared" si="15"/>
        <v>0.34482339721201444</v>
      </c>
      <c r="T194" s="31">
        <f t="shared" si="15"/>
        <v>0.36264274561430365</v>
      </c>
      <c r="U194" s="31">
        <f t="shared" si="15"/>
        <v>0.3798039761308475</v>
      </c>
      <c r="V194" s="31">
        <f t="shared" si="15"/>
        <v>0.4114362025009105</v>
      </c>
    </row>
    <row r="195" spans="1:22" ht="38.25">
      <c r="A195" s="27" t="s">
        <v>338</v>
      </c>
      <c r="B195" s="38"/>
      <c r="C195" s="38"/>
      <c r="D195" s="38">
        <v>0.23</v>
      </c>
      <c r="E195" s="38">
        <v>0.24</v>
      </c>
      <c r="F195" s="38">
        <v>0.25</v>
      </c>
      <c r="G195" s="38">
        <v>0.25</v>
      </c>
      <c r="H195" s="38">
        <v>0.26</v>
      </c>
      <c r="I195" s="38">
        <v>0.27</v>
      </c>
      <c r="J195" s="38">
        <v>0.27</v>
      </c>
      <c r="K195" s="38">
        <v>0.29</v>
      </c>
      <c r="L195" s="38">
        <v>0.27</v>
      </c>
      <c r="M195" s="38">
        <v>0.29</v>
      </c>
      <c r="N195" s="38">
        <v>0.27</v>
      </c>
      <c r="O195" s="38">
        <v>0.27</v>
      </c>
      <c r="P195" s="38">
        <v>0.28</v>
      </c>
      <c r="Q195" s="38">
        <v>0.28</v>
      </c>
      <c r="R195" s="38">
        <v>0.27</v>
      </c>
      <c r="S195" s="38">
        <v>0.27</v>
      </c>
      <c r="T195" s="38">
        <v>0.27</v>
      </c>
      <c r="U195" s="38">
        <v>0.28</v>
      </c>
      <c r="V195" s="38">
        <v>0.29</v>
      </c>
    </row>
    <row r="196" spans="1:22" ht="12.75">
      <c r="A196" s="27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</row>
    <row r="197" spans="1:22" s="41" customFormat="1" ht="12.75">
      <c r="A197" s="25" t="s">
        <v>257</v>
      </c>
      <c r="B197" s="42"/>
      <c r="C197" s="42"/>
      <c r="D197" s="31">
        <f>'Working counts'!D181/(SUM('Working counts'!D$160:D$163)+'Working counts'!D$164+'Working counts'!D$181+'Working counts'!D$188+'Working counts'!D$151)</f>
        <v>0.11609988301262657</v>
      </c>
      <c r="E197" s="31">
        <f>'Working counts'!E181/(SUM('Working counts'!E$160:E$163)+'Working counts'!E$164+'Working counts'!E$181+'Working counts'!E$188+'Working counts'!E$151)</f>
        <v>0.12059545490537651</v>
      </c>
      <c r="F197" s="31">
        <f>'Working counts'!F181/(SUM('Working counts'!F$160:F$163)+'Working counts'!F$164+'Working counts'!F$181+'Working counts'!F$188+'Working counts'!F$151)</f>
        <v>0.12526779106454253</v>
      </c>
      <c r="G197" s="31">
        <f>'Working counts'!G181/(SUM('Working counts'!G$160:G$163)+'Working counts'!G$164+'Working counts'!G$181+'Working counts'!G$188+'Working counts'!G$151)</f>
        <v>0.12812069229591055</v>
      </c>
      <c r="H197" s="31">
        <f>'Working counts'!H181/(SUM('Working counts'!H$160:H$163)+'Working counts'!H$164+'Working counts'!H$181+'Working counts'!H$188+'Working counts'!H$151)</f>
        <v>0.12814194184327254</v>
      </c>
      <c r="I197" s="31">
        <f>'Working counts'!I181/(SUM('Working counts'!I$160:I$163)+'Working counts'!I$164+'Working counts'!I$181+'Working counts'!I$188+'Working counts'!I$151)</f>
        <v>0.13152157570290182</v>
      </c>
      <c r="J197" s="31">
        <f>'Working counts'!J181/(SUM('Working counts'!J$160:J$163)+'Working counts'!J$164+'Working counts'!J$181+'Working counts'!J$188+'Working counts'!J$151)</f>
        <v>0.13424480568414254</v>
      </c>
      <c r="K197" s="31">
        <f>'Working counts'!K181/(SUM('Working counts'!K$160:K$163)+'Working counts'!K$164+'Working counts'!K$181+'Working counts'!K$188+'Working counts'!K$151)</f>
        <v>0.13666528411447532</v>
      </c>
      <c r="L197" s="31">
        <f>'Working counts'!L181/(SUM('Working counts'!L$160:L$163)+'Working counts'!L$164+'Working counts'!L$181+'Working counts'!L$188+'Working counts'!L$151)</f>
        <v>0.13250039538193895</v>
      </c>
      <c r="M197" s="31">
        <f>'Working counts'!M181/(SUM('Working counts'!M$160:M$163)+'Working counts'!M$164+'Working counts'!M$181+'Working counts'!M$188+'Working counts'!M$151)</f>
        <v>0.1457483623779508</v>
      </c>
      <c r="N197" s="31">
        <f>'Working counts'!N181/(SUM('Working counts'!N$160:N$163)+'Working counts'!N$164+'Working counts'!N$181+'Working counts'!N$188+'Working counts'!N$151)</f>
        <v>0.13719667656498397</v>
      </c>
      <c r="O197" s="31">
        <f>'Working counts'!O181/(SUM('Working counts'!O$160:O$163)+'Working counts'!O$164+'Working counts'!O$181+'Working counts'!O$188+'Working counts'!O$151)</f>
        <v>0.14233020363370322</v>
      </c>
      <c r="P197" s="31">
        <f>'Working counts'!P181/(SUM('Working counts'!P$160:P$163)+'Working counts'!P$164+'Working counts'!P$181+'Working counts'!P$188+'Working counts'!P$151)</f>
        <v>0.14791894187598592</v>
      </c>
      <c r="Q197" s="31">
        <f>'Working counts'!Q181/(SUM('Working counts'!Q$160:Q$163)+'Working counts'!Q$164+'Working counts'!Q$181+'Working counts'!Q$188+'Working counts'!Q$151)</f>
        <v>0.1521732636295743</v>
      </c>
      <c r="R197" s="31">
        <f>'Working counts'!R181/(SUM('Working counts'!R$160:R$163)+'Working counts'!R$164+'Working counts'!R$181+'Working counts'!R$188+'Working counts'!R$151)</f>
        <v>0.1370752427184466</v>
      </c>
      <c r="S197" s="31">
        <f>'Working counts'!S181/(SUM('Working counts'!S$160:S$163)+'Working counts'!S$164+'Working counts'!S$181+'Working counts'!S$188+'Working counts'!S$151)</f>
        <v>0.14103926868527347</v>
      </c>
      <c r="T197" s="31">
        <f>'Working counts'!T181/(SUM('Working counts'!T$160:T$163)+'Working counts'!T$164+'Working counts'!T$181+'Working counts'!T$188+'Working counts'!T$151)</f>
        <v>0.1454857177846493</v>
      </c>
      <c r="U197" s="31">
        <f>'Working counts'!U181/(SUM('Working counts'!U$160:U$163)+'Working counts'!U$164+'Working counts'!U$181+'Working counts'!U$188+'Working counts'!U$151)</f>
        <v>0.15753022292304364</v>
      </c>
      <c r="V197" s="31">
        <f>'Working counts'!V181/(SUM('Working counts'!V$160:V$163)+'Working counts'!V$164+'Working counts'!V$181+'Working counts'!V$188+'Working counts'!V$151)</f>
        <v>0.1525434017239286</v>
      </c>
    </row>
    <row r="198" spans="1:22" ht="12.75">
      <c r="A198" s="25" t="s">
        <v>258</v>
      </c>
      <c r="B198" s="1"/>
      <c r="C198" s="1"/>
      <c r="D198" s="31">
        <f>'Working counts'!D188/(SUM('Working counts'!D$160:D$163)+'Working counts'!D$164+'Working counts'!D$181+'Working counts'!D$188+'Working counts'!D$151)</f>
        <v>0.1483722618903546</v>
      </c>
      <c r="E198" s="31">
        <f>'Working counts'!E188/(SUM('Working counts'!E$160:E$163)+'Working counts'!E$164+'Working counts'!E$181+'Working counts'!E$188+'Working counts'!E$151)</f>
        <v>0.15123921133898172</v>
      </c>
      <c r="F198" s="31">
        <f>'Working counts'!F188/(SUM('Working counts'!F$160:F$163)+'Working counts'!F$164+'Working counts'!F$181+'Working counts'!F$188+'Working counts'!F$151)</f>
        <v>0.16231059868344175</v>
      </c>
      <c r="G198" s="31">
        <f>'Working counts'!G188/(SUM('Working counts'!G$160:G$163)+'Working counts'!G$164+'Working counts'!G$181+'Working counts'!G$188+'Working counts'!G$151)</f>
        <v>0.16373104610200642</v>
      </c>
      <c r="H198" s="31">
        <f>'Working counts'!H188/(SUM('Working counts'!H$160:H$163)+'Working counts'!H$164+'Working counts'!H$181+'Working counts'!H$188+'Working counts'!H$151)</f>
        <v>0.17348447511089207</v>
      </c>
      <c r="I198" s="31">
        <f>'Working counts'!I188/(SUM('Working counts'!I$160:I$163)+'Working counts'!I$164+'Working counts'!I$181+'Working counts'!I$188+'Working counts'!I$151)</f>
        <v>0.18730266125394676</v>
      </c>
      <c r="J198" s="31">
        <f>'Working counts'!J188/(SUM('Working counts'!J$160:J$163)+'Working counts'!J$164+'Working counts'!J$181+'Working counts'!J$188+'Working counts'!J$151)</f>
        <v>0.19291635267520724</v>
      </c>
      <c r="K198" s="31">
        <f>'Working counts'!K188/(SUM('Working counts'!K$160:K$163)+'Working counts'!K$164+'Working counts'!K$181+'Working counts'!K$188+'Working counts'!K$151)</f>
        <v>0.21712982165076733</v>
      </c>
      <c r="L198" s="31">
        <f>'Working counts'!L188/(SUM('Working counts'!L$160:L$163)+'Working counts'!L$164+'Working counts'!L$181+'Working counts'!L$188+'Working counts'!L$151)</f>
        <v>0.19383204175233276</v>
      </c>
      <c r="M198" s="31">
        <f>'Working counts'!M188/(SUM('Working counts'!M$160:M$163)+'Working counts'!M$164+'Working counts'!M$181+'Working counts'!M$188+'Working counts'!M$151)</f>
        <v>0.2160116178469905</v>
      </c>
      <c r="N198" s="31">
        <f>'Working counts'!N188/(SUM('Working counts'!N$160:N$163)+'Working counts'!N$164+'Working counts'!N$181+'Working counts'!N$188+'Working counts'!N$151)</f>
        <v>0.17505024145895198</v>
      </c>
      <c r="O198" s="31">
        <f>'Working counts'!O188/(SUM('Working counts'!O$160:O$163)+'Working counts'!O$164+'Working counts'!O$181+'Working counts'!O$188+'Working counts'!O$151)</f>
        <v>0.19342153395927325</v>
      </c>
      <c r="P198" s="31">
        <f>'Working counts'!P188/(SUM('Working counts'!P$160:P$163)+'Working counts'!P$164+'Working counts'!P$181+'Working counts'!P$188+'Working counts'!P$151)</f>
        <v>0.20901589612911053</v>
      </c>
      <c r="Q198" s="31">
        <f>'Working counts'!Q188/(SUM('Working counts'!Q$160:Q$163)+'Working counts'!Q$164+'Working counts'!Q$181+'Working counts'!Q$188+'Working counts'!Q$151)</f>
        <v>0.2110231516056759</v>
      </c>
      <c r="R198" s="31">
        <f>'Working counts'!R188/(SUM('Working counts'!R$160:R$163)+'Working counts'!R$164+'Working counts'!R$181+'Working counts'!R$188+'Working counts'!R$151)</f>
        <v>0.22327063106796116</v>
      </c>
      <c r="S198" s="31">
        <f>'Working counts'!S188/(SUM('Working counts'!S$160:S$163)+'Working counts'!S$164+'Working counts'!S$181+'Working counts'!S$188+'Working counts'!S$151)</f>
        <v>0.20378412852674097</v>
      </c>
      <c r="T198" s="31">
        <f>'Working counts'!T188/(SUM('Working counts'!T$160:T$163)+'Working counts'!T$164+'Working counts'!T$181+'Working counts'!T$188+'Working counts'!T$151)</f>
        <v>0.21715702782965435</v>
      </c>
      <c r="U198" s="31">
        <f>'Working counts'!U188/(SUM('Working counts'!U$160:U$163)+'Working counts'!U$164+'Working counts'!U$181+'Working counts'!U$188+'Working counts'!U$151)</f>
        <v>0.22227375320780385</v>
      </c>
      <c r="V198" s="31">
        <f>'Working counts'!V188/(SUM('Working counts'!V$160:V$163)+'Working counts'!V$164+'Working counts'!V$181+'Working counts'!V$188+'Working counts'!V$151)</f>
        <v>0.2588928007769819</v>
      </c>
    </row>
    <row r="199" spans="4:22" ht="12.75">
      <c r="D199" s="22">
        <f>D197/D194</f>
        <v>0.43898718730933495</v>
      </c>
      <c r="E199" s="22">
        <f aca="true" t="shared" si="16" ref="E199:V199">E197/E194</f>
        <v>0.44363530439848525</v>
      </c>
      <c r="F199" s="22">
        <f t="shared" si="16"/>
        <v>0.4355952864689151</v>
      </c>
      <c r="G199" s="22">
        <f t="shared" si="16"/>
        <v>0.4389923904487011</v>
      </c>
      <c r="H199" s="22">
        <f t="shared" si="16"/>
        <v>0.4248366013071896</v>
      </c>
      <c r="I199" s="22">
        <f t="shared" si="16"/>
        <v>0.41252063192643246</v>
      </c>
      <c r="J199" s="22">
        <f t="shared" si="16"/>
        <v>0.41033234616650216</v>
      </c>
      <c r="K199" s="22">
        <f t="shared" si="16"/>
        <v>0.38628370457209843</v>
      </c>
      <c r="L199" s="22">
        <f t="shared" si="16"/>
        <v>0.4060288843656101</v>
      </c>
      <c r="M199" s="22">
        <f t="shared" si="16"/>
        <v>0.4028869149299624</v>
      </c>
      <c r="N199" s="22">
        <f t="shared" si="16"/>
        <v>0.4393852065321806</v>
      </c>
      <c r="O199" s="22">
        <f t="shared" si="16"/>
        <v>0.42391501725077174</v>
      </c>
      <c r="P199" s="22">
        <f t="shared" si="16"/>
        <v>0.4144144144144144</v>
      </c>
      <c r="Q199" s="22">
        <f t="shared" si="16"/>
        <v>0.4189833854252344</v>
      </c>
      <c r="R199" s="22">
        <f t="shared" si="16"/>
        <v>0.3803990906794645</v>
      </c>
      <c r="S199" s="22">
        <f t="shared" si="16"/>
        <v>0.40901884798308963</v>
      </c>
      <c r="T199" s="22">
        <f t="shared" si="16"/>
        <v>0.4011819333051921</v>
      </c>
      <c r="U199" s="22">
        <f t="shared" si="16"/>
        <v>0.4147671768153696</v>
      </c>
      <c r="V199" s="22">
        <f t="shared" si="16"/>
        <v>0.3707583357922691</v>
      </c>
    </row>
    <row r="200" spans="4:22" ht="12.75"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12.75">
      <c r="A201" s="4" t="s">
        <v>192</v>
      </c>
      <c r="L201" s="31">
        <f>'Working counts'!L172/(SUM('Working counts'!L$160:L$163)+'Working counts'!L$164+'Working counts'!L$181+'Working counts'!L$188+'Working counts'!L$151)</f>
        <v>0.1191523011228847</v>
      </c>
      <c r="M201" s="31">
        <f>'Working counts'!M172/(SUM('Working counts'!M$160:M$163)+'Working counts'!M$164+'Working counts'!M$181+'Working counts'!M$188+'Working counts'!M$151)</f>
        <v>0.11982449635397355</v>
      </c>
      <c r="N201" s="31">
        <f>'Working counts'!N172/(SUM('Working counts'!N$160:N$163)+'Working counts'!N$164+'Working counts'!N$181+'Working counts'!N$188+'Working counts'!N$151)</f>
        <v>0.11913974624313867</v>
      </c>
      <c r="O201" s="31">
        <f>'Working counts'!O172/(SUM('Working counts'!O$160:O$163)+'Working counts'!O$164+'Working counts'!O$181+'Working counts'!O$188+'Working counts'!O$151)</f>
        <v>0.11907084501890014</v>
      </c>
      <c r="P201" s="31">
        <f>'Working counts'!P172/(SUM('Working counts'!P$160:P$163)+'Working counts'!P$164+'Working counts'!P$181+'Working counts'!P$188+'Working counts'!P$151)</f>
        <v>0.11254702099259799</v>
      </c>
      <c r="Q201" s="31">
        <f>'Working counts'!Q172/(SUM('Working counts'!Q$160:Q$163)+'Working counts'!Q$164+'Working counts'!Q$181+'Working counts'!Q$188+'Working counts'!Q$151)</f>
        <v>0.11937266616878267</v>
      </c>
      <c r="R201" s="31">
        <f>'Working counts'!R172/(SUM('Working counts'!R$160:R$163)+'Working counts'!R$164+'Working counts'!R$181+'Working counts'!R$188+'Working counts'!R$151)</f>
        <v>0.10512742718446602</v>
      </c>
      <c r="S201" s="31">
        <f>'Working counts'!S172/(SUM('Working counts'!S$160:S$163)+'Working counts'!S$164+'Working counts'!S$181+'Working counts'!S$188+'Working counts'!S$151)</f>
        <v>0.10817869833267531</v>
      </c>
      <c r="T201" s="31">
        <f>'Working counts'!T172/(SUM('Working counts'!T$160:T$163)+'Working counts'!T$164+'Working counts'!T$181+'Working counts'!T$188+'Working counts'!T$151)</f>
        <v>0.11092061353825429</v>
      </c>
      <c r="U201" s="31">
        <f>'Working counts'!U172/(SUM('Working counts'!U$160:U$163)+'Working counts'!U$164+'Working counts'!U$181+'Working counts'!U$188+'Working counts'!U$151)</f>
        <v>0.10960640633212751</v>
      </c>
      <c r="V201" s="31">
        <f>'Working counts'!V172/(SUM('Working counts'!V$160:V$163)+'Working counts'!V$164+'Working counts'!V$181+'Working counts'!V$188+'Working counts'!V$151)</f>
        <v>0.10947553721014933</v>
      </c>
    </row>
    <row r="202" spans="1:22" ht="12.75">
      <c r="A202" s="4" t="s">
        <v>193</v>
      </c>
      <c r="L202" s="31">
        <f>'Working counts'!L173/(SUM('Working counts'!L$160:L$163)+'Working counts'!L$164+'Working counts'!L$181+'Working counts'!L$188+'Working counts'!L$151)</f>
        <v>0.08065791554641784</v>
      </c>
      <c r="M202" s="31">
        <f>'Working counts'!M173/(SUM('Working counts'!M$160:M$163)+'Working counts'!M$164+'Working counts'!M$181+'Working counts'!M$188+'Working counts'!M$151)</f>
        <v>0.0913978494623656</v>
      </c>
      <c r="N202" s="31">
        <f>'Working counts'!N173/(SUM('Working counts'!N$160:N$163)+'Working counts'!N$164+'Working counts'!N$181+'Working counts'!N$188+'Working counts'!N$151)</f>
        <v>0.09196436605777018</v>
      </c>
      <c r="O202" s="31">
        <f>'Working counts'!O173/(SUM('Working counts'!O$160:O$163)+'Working counts'!O$164+'Working counts'!O$181+'Working counts'!O$188+'Working counts'!O$151)</f>
        <v>0.08785513961711987</v>
      </c>
      <c r="P202" s="31">
        <f>'Working counts'!P173/(SUM('Working counts'!P$160:P$163)+'Working counts'!P$164+'Working counts'!P$181+'Working counts'!P$188+'Working counts'!P$151)</f>
        <v>0.09052299478218663</v>
      </c>
      <c r="Q202" s="31">
        <f>'Working counts'!Q173/(SUM('Working counts'!Q$160:Q$163)+'Working counts'!Q$164+'Working counts'!Q$181+'Working counts'!Q$188+'Working counts'!Q$151)</f>
        <v>0.08746825989544436</v>
      </c>
      <c r="R202" s="31">
        <f>'Working counts'!R173/(SUM('Working counts'!R$160:R$163)+'Working counts'!R$164+'Working counts'!R$181+'Working counts'!R$188+'Working counts'!R$151)</f>
        <v>0.0833131067961165</v>
      </c>
      <c r="S202" s="31">
        <f>'Working counts'!S173/(SUM('Working counts'!S$160:S$163)+'Working counts'!S$164+'Working counts'!S$181+'Working counts'!S$188+'Working counts'!S$151)</f>
        <v>0.08600844291918486</v>
      </c>
      <c r="T202" s="31">
        <f>'Working counts'!T173/(SUM('Working counts'!T$160:T$163)+'Working counts'!T$164+'Working counts'!T$181+'Working counts'!T$188+'Working counts'!T$151)</f>
        <v>0.08140709671493739</v>
      </c>
      <c r="U202" s="31">
        <f>'Working counts'!U173/(SUM('Working counts'!U$160:U$163)+'Working counts'!U$164+'Working counts'!U$181+'Working counts'!U$188+'Working counts'!U$151)</f>
        <v>0.08802522957054076</v>
      </c>
      <c r="V202" s="31">
        <f>'Working counts'!V173/(SUM('Working counts'!V$160:V$163)+'Working counts'!V$164+'Working counts'!V$181+'Working counts'!V$188+'Working counts'!V$151)</f>
        <v>0.09087046254704383</v>
      </c>
    </row>
    <row r="203" spans="12:22" ht="12.75">
      <c r="L203" s="22">
        <f>L202/L193</f>
        <v>0.4036726294126959</v>
      </c>
      <c r="M203" s="22">
        <f aca="true" t="shared" si="17" ref="M203:V203">M202/M193</f>
        <v>0.4327091866588648</v>
      </c>
      <c r="N203" s="22">
        <f t="shared" si="17"/>
        <v>0.4356351236146633</v>
      </c>
      <c r="O203" s="22">
        <f t="shared" si="17"/>
        <v>0.4245727754861521</v>
      </c>
      <c r="P203" s="22">
        <f t="shared" si="17"/>
        <v>0.445772333432925</v>
      </c>
      <c r="Q203" s="22">
        <f t="shared" si="17"/>
        <v>0.42287694974003465</v>
      </c>
      <c r="R203" s="22">
        <f t="shared" si="17"/>
        <v>0.44211882144582193</v>
      </c>
      <c r="S203" s="22">
        <f t="shared" si="17"/>
        <v>0.44291523303096647</v>
      </c>
      <c r="T203" s="22">
        <f t="shared" si="17"/>
        <v>0.4232728430436167</v>
      </c>
      <c r="U203" s="22">
        <f t="shared" si="17"/>
        <v>0.44540050062578224</v>
      </c>
      <c r="V203" s="22">
        <f t="shared" si="17"/>
        <v>0.45356764126647475</v>
      </c>
    </row>
    <row r="207" spans="1:22" ht="12.75">
      <c r="A207" s="4" t="s">
        <v>253</v>
      </c>
      <c r="R207" s="10"/>
      <c r="S207" s="10"/>
      <c r="T207" s="10"/>
      <c r="U207" s="10"/>
      <c r="V207" s="10"/>
    </row>
    <row r="208" spans="1:22" ht="12.75">
      <c r="A208" s="4"/>
      <c r="R208" s="10"/>
      <c r="S208" s="10"/>
      <c r="T208" s="10"/>
      <c r="U208" s="10"/>
      <c r="V208" s="10"/>
    </row>
    <row r="209" spans="1:22" ht="12.75">
      <c r="A209" s="4" t="s">
        <v>86</v>
      </c>
      <c r="B209" s="14" t="s">
        <v>318</v>
      </c>
      <c r="C209" s="14" t="s">
        <v>318</v>
      </c>
      <c r="D209" s="14" t="s">
        <v>318</v>
      </c>
      <c r="E209" s="14" t="s">
        <v>318</v>
      </c>
      <c r="F209" s="14" t="s">
        <v>318</v>
      </c>
      <c r="G209" s="14" t="s">
        <v>318</v>
      </c>
      <c r="H209" s="14" t="s">
        <v>318</v>
      </c>
      <c r="I209" s="14" t="s">
        <v>318</v>
      </c>
      <c r="J209" s="14" t="s">
        <v>318</v>
      </c>
      <c r="K209" s="14" t="s">
        <v>318</v>
      </c>
      <c r="L209" s="66">
        <v>334.8184543637575</v>
      </c>
      <c r="M209" s="66">
        <v>368.62579677540305</v>
      </c>
      <c r="N209" s="66">
        <v>425.66361003861005</v>
      </c>
      <c r="O209" s="37">
        <v>456.0870634530251</v>
      </c>
      <c r="P209" s="37">
        <v>511.18244752121484</v>
      </c>
      <c r="Q209" s="37">
        <v>563.340784393416</v>
      </c>
      <c r="R209" s="39">
        <v>533.6188204683434</v>
      </c>
      <c r="S209" s="39">
        <v>581.297626823427</v>
      </c>
      <c r="T209" s="39">
        <v>686</v>
      </c>
      <c r="U209" s="39">
        <v>718</v>
      </c>
      <c r="V209" s="39">
        <v>809</v>
      </c>
    </row>
    <row r="210" spans="1:22" ht="12.75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37"/>
      <c r="M210" s="37"/>
      <c r="N210" s="37"/>
      <c r="O210" s="37"/>
      <c r="P210" s="37"/>
      <c r="Q210" s="37"/>
      <c r="R210" s="39"/>
      <c r="S210" s="39"/>
      <c r="T210" s="39"/>
      <c r="U210" s="39"/>
      <c r="V210" s="39"/>
    </row>
    <row r="211" spans="1:22" ht="12.75">
      <c r="A211" s="4" t="s">
        <v>172</v>
      </c>
      <c r="B211" s="14" t="s">
        <v>318</v>
      </c>
      <c r="C211" s="14" t="s">
        <v>318</v>
      </c>
      <c r="D211" s="14" t="s">
        <v>318</v>
      </c>
      <c r="E211" s="14" t="s">
        <v>318</v>
      </c>
      <c r="F211" s="14" t="s">
        <v>318</v>
      </c>
      <c r="G211" s="14" t="s">
        <v>318</v>
      </c>
      <c r="H211" s="14" t="s">
        <v>318</v>
      </c>
      <c r="I211" s="14" t="s">
        <v>318</v>
      </c>
      <c r="J211" s="14" t="s">
        <v>318</v>
      </c>
      <c r="K211" s="14" t="s">
        <v>318</v>
      </c>
      <c r="L211" s="31">
        <f>'Working counts'!L196/SUM('Working counts'!L$196:L$210)</f>
        <v>0.03930680607996902</v>
      </c>
      <c r="M211" s="31">
        <f>'Working counts'!M196/SUM('Working counts'!M$196:M$210)</f>
        <v>0.0344146313927671</v>
      </c>
      <c r="N211" s="31">
        <f>'Working counts'!N196/SUM('Working counts'!N$196:N$210)</f>
        <v>0.035140117994100294</v>
      </c>
      <c r="O211" s="31">
        <f>'Working counts'!O196/SUM('Working counts'!O$196:O$210)</f>
        <v>0.02756309292699901</v>
      </c>
      <c r="P211" s="31">
        <f>'Working counts'!P196/SUM('Working counts'!P$196:P$210)</f>
        <v>0.018926822267271846</v>
      </c>
      <c r="Q211" s="31">
        <f>'Working counts'!Q196/SUM('Working counts'!Q$196:Q$210)</f>
        <v>0.016508246254563767</v>
      </c>
      <c r="R211" s="31">
        <f>'Working counts'!R196/SUM('Working counts'!R$196:R$210)</f>
        <v>0.018049383847175776</v>
      </c>
      <c r="S211" s="31">
        <f>'Working counts'!S196/SUM('Working counts'!S$196:S$210)</f>
        <v>0.017471946043374615</v>
      </c>
      <c r="T211" s="31">
        <f>'Working counts'!T196/SUM('Working counts'!T$196:T$210)</f>
        <v>0.01376876772988307</v>
      </c>
      <c r="U211" s="31">
        <f>'Working counts'!U196/SUM('Working counts'!U$196:U$210)</f>
        <v>0.013635293954788965</v>
      </c>
      <c r="V211" s="31">
        <f>'Working counts'!V196/SUM('Working counts'!V$196:V$210)</f>
        <v>0.009488603000053381</v>
      </c>
    </row>
    <row r="212" spans="1:22" ht="12.75">
      <c r="A212" s="4" t="s">
        <v>173</v>
      </c>
      <c r="B212" s="14" t="s">
        <v>318</v>
      </c>
      <c r="C212" s="14" t="s">
        <v>318</v>
      </c>
      <c r="D212" s="14" t="s">
        <v>318</v>
      </c>
      <c r="E212" s="14" t="s">
        <v>318</v>
      </c>
      <c r="F212" s="14" t="s">
        <v>318</v>
      </c>
      <c r="G212" s="14" t="s">
        <v>318</v>
      </c>
      <c r="H212" s="14" t="s">
        <v>318</v>
      </c>
      <c r="I212" s="14" t="s">
        <v>318</v>
      </c>
      <c r="J212" s="14" t="s">
        <v>318</v>
      </c>
      <c r="K212" s="14" t="s">
        <v>318</v>
      </c>
      <c r="L212" s="31">
        <f>'Working counts'!L197/SUM('Working counts'!L$196:L$210)</f>
        <v>0.2143479523671217</v>
      </c>
      <c r="M212" s="31">
        <f>'Working counts'!M197/SUM('Working counts'!M$196:M$210)</f>
        <v>0.2009746735408121</v>
      </c>
      <c r="N212" s="31">
        <f>'Working counts'!N197/SUM('Working counts'!N$196:N$210)</f>
        <v>0.1939712389380531</v>
      </c>
      <c r="O212" s="31">
        <f>'Working counts'!O197/SUM('Working counts'!O$196:O$210)</f>
        <v>0.16459104062122268</v>
      </c>
      <c r="P212" s="31">
        <f>'Working counts'!P197/SUM('Working counts'!P$196:P$210)</f>
        <v>0.13492761163237116</v>
      </c>
      <c r="Q212" s="31">
        <f>'Working counts'!Q197/SUM('Working counts'!Q$196:Q$210)</f>
        <v>0.11439317638171975</v>
      </c>
      <c r="R212" s="31">
        <f>'Working counts'!R197/SUM('Working counts'!R$196:R$210)</f>
        <v>0.11977949822102096</v>
      </c>
      <c r="S212" s="31">
        <f>'Working counts'!S197/SUM('Working counts'!S$196:S$210)</f>
        <v>0.11209954067096924</v>
      </c>
      <c r="T212" s="31">
        <f>'Working counts'!T197/SUM('Working counts'!T$196:T$210)</f>
        <v>0.08383034664083581</v>
      </c>
      <c r="U212" s="31">
        <f>'Working counts'!U197/SUM('Working counts'!U$196:U$210)</f>
        <v>0.08206093661318678</v>
      </c>
      <c r="V212" s="31">
        <f>'Working counts'!V197/SUM('Working counts'!V$196:V$210)</f>
        <v>0.0600411039342337</v>
      </c>
    </row>
    <row r="213" spans="1:22" ht="12.75">
      <c r="A213" s="4" t="s">
        <v>252</v>
      </c>
      <c r="B213" s="14" t="s">
        <v>318</v>
      </c>
      <c r="C213" s="14" t="s">
        <v>318</v>
      </c>
      <c r="D213" s="14" t="s">
        <v>318</v>
      </c>
      <c r="E213" s="14" t="s">
        <v>318</v>
      </c>
      <c r="F213" s="14" t="s">
        <v>318</v>
      </c>
      <c r="G213" s="14" t="s">
        <v>318</v>
      </c>
      <c r="H213" s="14" t="s">
        <v>318</v>
      </c>
      <c r="I213" s="14" t="s">
        <v>318</v>
      </c>
      <c r="J213" s="14" t="s">
        <v>318</v>
      </c>
      <c r="K213" s="14" t="s">
        <v>318</v>
      </c>
      <c r="L213" s="31">
        <f>'Working counts'!L198/SUM('Working counts'!L$196:L$210)</f>
        <v>0.10235259947720012</v>
      </c>
      <c r="M213" s="31">
        <f>'Working counts'!M198/SUM('Working counts'!M$196:M$210)</f>
        <v>0.09816354946750461</v>
      </c>
      <c r="N213" s="31">
        <f>'Working counts'!N198/SUM('Working counts'!N$196:N$210)</f>
        <v>0.09472713864306785</v>
      </c>
      <c r="O213" s="31">
        <f>'Working counts'!O198/SUM('Working counts'!O$196:O$210)</f>
        <v>0.08331196659463024</v>
      </c>
      <c r="P213" s="31">
        <f>'Working counts'!P198/SUM('Working counts'!P$196:P$210)</f>
        <v>0.07960029421790064</v>
      </c>
      <c r="Q213" s="31">
        <f>'Working counts'!Q198/SUM('Working counts'!Q$196:Q$210)</f>
        <v>0.07357106886566789</v>
      </c>
      <c r="R213" s="31">
        <f>'Working counts'!R198/SUM('Working counts'!R$196:R$210)</f>
        <v>0.07737413532456823</v>
      </c>
      <c r="S213" s="31">
        <f>'Working counts'!S198/SUM('Working counts'!S$196:S$210)</f>
        <v>0.07589104017675447</v>
      </c>
      <c r="T213" s="31">
        <f>'Working counts'!T198/SUM('Working counts'!T$196:T$210)</f>
        <v>0.061551235037708436</v>
      </c>
      <c r="U213" s="31">
        <f>'Working counts'!U198/SUM('Working counts'!U$196:U$210)</f>
        <v>0.05773889450296931</v>
      </c>
      <c r="V213" s="31">
        <f>'Working counts'!V198/SUM('Working counts'!V$196:V$210)</f>
        <v>0.04722948806918273</v>
      </c>
    </row>
    <row r="214" spans="1:22" ht="12.75">
      <c r="A214" s="4" t="s">
        <v>175</v>
      </c>
      <c r="B214" s="14" t="s">
        <v>318</v>
      </c>
      <c r="C214" s="14" t="s">
        <v>318</v>
      </c>
      <c r="D214" s="14" t="s">
        <v>318</v>
      </c>
      <c r="E214" s="14" t="s">
        <v>318</v>
      </c>
      <c r="F214" s="14" t="s">
        <v>318</v>
      </c>
      <c r="G214" s="14" t="s">
        <v>318</v>
      </c>
      <c r="H214" s="14" t="s">
        <v>318</v>
      </c>
      <c r="I214" s="14" t="s">
        <v>318</v>
      </c>
      <c r="J214" s="14" t="s">
        <v>318</v>
      </c>
      <c r="K214" s="14" t="s">
        <v>318</v>
      </c>
      <c r="L214" s="31">
        <f>'Working counts'!L199/SUM('Working counts'!L$196:L$210)</f>
        <v>0.0796979378449027</v>
      </c>
      <c r="M214" s="31">
        <f>'Working counts'!M199/SUM('Working counts'!M$196:M$210)</f>
        <v>0.0754713430926128</v>
      </c>
      <c r="N214" s="31">
        <f>'Working counts'!N199/SUM('Working counts'!N$196:N$210)</f>
        <v>0.07020648967551622</v>
      </c>
      <c r="O214" s="31">
        <f>'Working counts'!O199/SUM('Working counts'!O$196:O$210)</f>
        <v>0.07010732207611443</v>
      </c>
      <c r="P214" s="31">
        <f>'Working counts'!P199/SUM('Working counts'!P$196:P$210)</f>
        <v>0.06849536248004162</v>
      </c>
      <c r="Q214" s="31">
        <f>'Working counts'!Q199/SUM('Working counts'!Q$196:Q$210)</f>
        <v>0.06348357043938059</v>
      </c>
      <c r="R214" s="31">
        <f>'Working counts'!R199/SUM('Working counts'!R$196:R$210)</f>
        <v>0.07323590941713623</v>
      </c>
      <c r="S214" s="31">
        <f>'Working counts'!S199/SUM('Working counts'!S$196:S$210)</f>
        <v>0.06795453224024653</v>
      </c>
      <c r="T214" s="31">
        <f>'Working counts'!T199/SUM('Working counts'!T$196:T$210)</f>
        <v>0.05717844046218778</v>
      </c>
      <c r="U214" s="31">
        <f>'Working counts'!U199/SUM('Working counts'!U$196:U$210)</f>
        <v>0.055136422154238016</v>
      </c>
      <c r="V214" s="31">
        <f>'Working counts'!V199/SUM('Working counts'!V$196:V$210)</f>
        <v>0.0490711578497838</v>
      </c>
    </row>
    <row r="215" spans="1:22" ht="12.75">
      <c r="A215" s="4" t="s">
        <v>176</v>
      </c>
      <c r="B215" s="14" t="s">
        <v>318</v>
      </c>
      <c r="C215" s="14" t="s">
        <v>318</v>
      </c>
      <c r="D215" s="14" t="s">
        <v>318</v>
      </c>
      <c r="E215" s="14" t="s">
        <v>318</v>
      </c>
      <c r="F215" s="14" t="s">
        <v>318</v>
      </c>
      <c r="G215" s="14" t="s">
        <v>318</v>
      </c>
      <c r="H215" s="14" t="s">
        <v>318</v>
      </c>
      <c r="I215" s="14" t="s">
        <v>318</v>
      </c>
      <c r="J215" s="14" t="s">
        <v>318</v>
      </c>
      <c r="K215" s="14" t="s">
        <v>318</v>
      </c>
      <c r="L215" s="31">
        <f>'Working counts'!L200/SUM('Working counts'!L$196:L$210)</f>
        <v>0.06740245909574984</v>
      </c>
      <c r="M215" s="31">
        <f>'Working counts'!M200/SUM('Working counts'!M$196:M$210)</f>
        <v>0.06324088360365784</v>
      </c>
      <c r="N215" s="31">
        <f>'Working counts'!N200/SUM('Working counts'!N$196:N$210)</f>
        <v>0.05669247787610619</v>
      </c>
      <c r="O215" s="31">
        <f>'Working counts'!O200/SUM('Working counts'!O$196:O$210)</f>
        <v>0.056957620599978026</v>
      </c>
      <c r="P215" s="31">
        <f>'Working counts'!P200/SUM('Working counts'!P$196:P$210)</f>
        <v>0.057659532480579825</v>
      </c>
      <c r="Q215" s="31">
        <f>'Working counts'!Q200/SUM('Working counts'!Q$196:Q$210)</f>
        <v>0.05311280372655168</v>
      </c>
      <c r="R215" s="31">
        <f>'Working counts'!R200/SUM('Working counts'!R$196:R$210)</f>
        <v>0.056026386916487245</v>
      </c>
      <c r="S215" s="31">
        <f>'Working counts'!S200/SUM('Working counts'!S$196:S$210)</f>
        <v>0.05215419501133787</v>
      </c>
      <c r="T215" s="31">
        <f>'Working counts'!T200/SUM('Working counts'!T$196:T$210)</f>
        <v>0.05187850273299661</v>
      </c>
      <c r="U215" s="31">
        <f>'Working counts'!U200/SUM('Working counts'!U$196:U$210)</f>
        <v>0.049709990448372765</v>
      </c>
      <c r="V215" s="31">
        <f>'Working counts'!V200/SUM('Working counts'!V$196:V$210)</f>
        <v>0.046548870976351894</v>
      </c>
    </row>
    <row r="216" spans="1:22" ht="12.75">
      <c r="A216" s="4" t="s">
        <v>177</v>
      </c>
      <c r="B216" s="14" t="s">
        <v>318</v>
      </c>
      <c r="C216" s="14" t="s">
        <v>318</v>
      </c>
      <c r="D216" s="14" t="s">
        <v>318</v>
      </c>
      <c r="E216" s="14" t="s">
        <v>318</v>
      </c>
      <c r="F216" s="14" t="s">
        <v>318</v>
      </c>
      <c r="G216" s="14" t="s">
        <v>318</v>
      </c>
      <c r="H216" s="14" t="s">
        <v>318</v>
      </c>
      <c r="I216" s="14" t="s">
        <v>318</v>
      </c>
      <c r="J216" s="14" t="s">
        <v>318</v>
      </c>
      <c r="K216" s="14" t="s">
        <v>318</v>
      </c>
      <c r="L216" s="31">
        <f>'Working counts'!L201/SUM('Working counts'!L$196:L$210)</f>
        <v>0.05812760189756995</v>
      </c>
      <c r="M216" s="31">
        <f>'Working counts'!M201/SUM('Working counts'!M$196:M$210)</f>
        <v>0.05626011364919279</v>
      </c>
      <c r="N216" s="31">
        <f>'Working counts'!N201/SUM('Working counts'!N$196:N$210)</f>
        <v>0.0508480825958702</v>
      </c>
      <c r="O216" s="31">
        <f>'Working counts'!O201/SUM('Working counts'!O$196:O$210)</f>
        <v>0.04855133511592982</v>
      </c>
      <c r="P216" s="31">
        <f>'Working counts'!P201/SUM('Working counts'!P$196:P$210)</f>
        <v>0.046339319352003014</v>
      </c>
      <c r="Q216" s="31">
        <f>'Working counts'!Q201/SUM('Working counts'!Q$196:Q$210)</f>
        <v>0.04697532418481682</v>
      </c>
      <c r="R216" s="31">
        <f>'Working counts'!R201/SUM('Working counts'!R$196:R$210)</f>
        <v>0.04988776398369142</v>
      </c>
      <c r="S216" s="31">
        <f>'Working counts'!S201/SUM('Working counts'!S$196:S$210)</f>
        <v>0.04607826036397465</v>
      </c>
      <c r="T216" s="31">
        <f>'Working counts'!T201/SUM('Working counts'!T$196:T$210)</f>
        <v>0.04291150626167577</v>
      </c>
      <c r="U216" s="31">
        <f>'Working counts'!U201/SUM('Working counts'!U$196:U$210)</f>
        <v>0.04017220614903307</v>
      </c>
      <c r="V216" s="31">
        <f>'Working counts'!V201/SUM('Working counts'!V$196:V$210)</f>
        <v>0.043706293706293704</v>
      </c>
    </row>
    <row r="217" spans="1:22" ht="12.75">
      <c r="A217" s="4" t="s">
        <v>184</v>
      </c>
      <c r="B217" s="14" t="s">
        <v>318</v>
      </c>
      <c r="C217" s="14" t="s">
        <v>318</v>
      </c>
      <c r="D217" s="14" t="s">
        <v>318</v>
      </c>
      <c r="E217" s="14" t="s">
        <v>318</v>
      </c>
      <c r="F217" s="14" t="s">
        <v>318</v>
      </c>
      <c r="G217" s="14" t="s">
        <v>318</v>
      </c>
      <c r="H217" s="14" t="s">
        <v>318</v>
      </c>
      <c r="I217" s="14" t="s">
        <v>318</v>
      </c>
      <c r="J217" s="14" t="s">
        <v>318</v>
      </c>
      <c r="K217" s="14" t="s">
        <v>318</v>
      </c>
      <c r="L217" s="31">
        <f>'Working counts'!L202/SUM('Working counts'!L$196:L$210)</f>
        <v>0.05499080259463646</v>
      </c>
      <c r="M217" s="31">
        <f>'Working counts'!M202/SUM('Working counts'!M$196:M$210)</f>
        <v>0.05018251608775825</v>
      </c>
      <c r="N217" s="31">
        <f>'Working counts'!N202/SUM('Working counts'!N$196:N$210)</f>
        <v>0.04539085545722714</v>
      </c>
      <c r="O217" s="31">
        <f>'Working counts'!O202/SUM('Working counts'!O$196:O$210)</f>
        <v>0.04459543606461302</v>
      </c>
      <c r="P217" s="31">
        <f>'Working counts'!P202/SUM('Working counts'!P$196:P$210)</f>
        <v>0.04406092463357313</v>
      </c>
      <c r="Q217" s="31">
        <f>'Working counts'!Q202/SUM('Working counts'!Q$196:Q$210)</f>
        <v>0.04252171723530152</v>
      </c>
      <c r="R217" s="31">
        <f>'Working counts'!R202/SUM('Working counts'!R$196:R$210)</f>
        <v>0.044222517446210696</v>
      </c>
      <c r="S217" s="31">
        <f>'Working counts'!S202/SUM('Working counts'!S$196:S$210)</f>
        <v>0.038897610326181754</v>
      </c>
      <c r="T217" s="31">
        <f>'Working counts'!T202/SUM('Working counts'!T$196:T$210)</f>
        <v>0.03556355081989898</v>
      </c>
      <c r="U217" s="31">
        <f>'Working counts'!U202/SUM('Working counts'!U$196:U$210)</f>
        <v>0.03927241517739725</v>
      </c>
      <c r="V217" s="31">
        <f>'Working counts'!V202/SUM('Working counts'!V$196:V$210)</f>
        <v>0.036286232851118344</v>
      </c>
    </row>
    <row r="218" spans="1:22" ht="12.75">
      <c r="A218" s="4" t="s">
        <v>185</v>
      </c>
      <c r="B218" s="14" t="s">
        <v>318</v>
      </c>
      <c r="C218" s="14" t="s">
        <v>318</v>
      </c>
      <c r="D218" s="14" t="s">
        <v>318</v>
      </c>
      <c r="E218" s="14" t="s">
        <v>318</v>
      </c>
      <c r="F218" s="14" t="s">
        <v>318</v>
      </c>
      <c r="G218" s="14" t="s">
        <v>318</v>
      </c>
      <c r="H218" s="14" t="s">
        <v>318</v>
      </c>
      <c r="I218" s="14" t="s">
        <v>318</v>
      </c>
      <c r="J218" s="14" t="s">
        <v>318</v>
      </c>
      <c r="K218" s="14" t="s">
        <v>318</v>
      </c>
      <c r="L218" s="31">
        <f>'Working counts'!L203/SUM('Working counts'!L$196:L$210)</f>
        <v>0.04827185593958757</v>
      </c>
      <c r="M218" s="31">
        <f>'Working counts'!M203/SUM('Working counts'!M$196:M$210)</f>
        <v>0.04530914838369774</v>
      </c>
      <c r="N218" s="31">
        <f>'Working counts'!N203/SUM('Working counts'!N$196:N$210)</f>
        <v>0.04253318584070796</v>
      </c>
      <c r="O218" s="31">
        <f>'Working counts'!O203/SUM('Working counts'!O$196:O$210)</f>
        <v>0.04280063001355262</v>
      </c>
      <c r="P218" s="31">
        <f>'Working counts'!P203/SUM('Working counts'!P$196:P$210)</f>
        <v>0.041298146786028236</v>
      </c>
      <c r="Q218" s="31">
        <f>'Working counts'!Q203/SUM('Working counts'!Q$196:Q$210)</f>
        <v>0.04038146795920937</v>
      </c>
      <c r="R218" s="31">
        <f>'Working counts'!R203/SUM('Working counts'!R$196:R$210)</f>
        <v>0.03774794997480416</v>
      </c>
      <c r="S218" s="31">
        <f>'Working counts'!S203/SUM('Working counts'!S$196:S$210)</f>
        <v>0.03517646374789232</v>
      </c>
      <c r="T218" s="31">
        <f>'Working counts'!T203/SUM('Working counts'!T$196:T$210)</f>
        <v>0.035646578565003806</v>
      </c>
      <c r="U218" s="31">
        <f>'Working counts'!U203/SUM('Working counts'!U$196:U$210)</f>
        <v>0.03258627611124185</v>
      </c>
      <c r="V218" s="31">
        <f>'Working counts'!V203/SUM('Working counts'!V$196:V$210)</f>
        <v>0.03172209469919394</v>
      </c>
    </row>
    <row r="219" spans="1:22" ht="12.75">
      <c r="A219" s="4" t="s">
        <v>178</v>
      </c>
      <c r="B219" s="14" t="s">
        <v>318</v>
      </c>
      <c r="C219" s="14" t="s">
        <v>318</v>
      </c>
      <c r="D219" s="14" t="s">
        <v>318</v>
      </c>
      <c r="E219" s="14" t="s">
        <v>318</v>
      </c>
      <c r="F219" s="14" t="s">
        <v>318</v>
      </c>
      <c r="G219" s="14" t="s">
        <v>318</v>
      </c>
      <c r="H219" s="14" t="s">
        <v>318</v>
      </c>
      <c r="I219" s="14" t="s">
        <v>318</v>
      </c>
      <c r="J219" s="14" t="s">
        <v>318</v>
      </c>
      <c r="K219" s="14" t="s">
        <v>318</v>
      </c>
      <c r="L219" s="31">
        <f>'Working counts'!L204/SUM('Working counts'!L$196:L$210)</f>
        <v>0.08248620389195468</v>
      </c>
      <c r="M219" s="31">
        <f>'Working counts'!M204/SUM('Working counts'!M$196:M$210)</f>
        <v>0.0830354118842434</v>
      </c>
      <c r="N219" s="31">
        <f>'Working counts'!N204/SUM('Working counts'!N$196:N$210)</f>
        <v>0.07640117994100296</v>
      </c>
      <c r="O219" s="31">
        <f>'Working counts'!O204/SUM('Working counts'!O$196:O$210)</f>
        <v>0.07446613677154683</v>
      </c>
      <c r="P219" s="31">
        <f>'Working counts'!P204/SUM('Working counts'!P$196:P$210)</f>
        <v>0.08033583896951975</v>
      </c>
      <c r="Q219" s="31">
        <f>'Working counts'!Q204/SUM('Working counts'!Q$196:Q$210)</f>
        <v>0.07744240211506988</v>
      </c>
      <c r="R219" s="31">
        <f>'Working counts'!R204/SUM('Working counts'!R$196:R$210)</f>
        <v>0.0704261914578466</v>
      </c>
      <c r="S219" s="31">
        <f>'Working counts'!S204/SUM('Working counts'!S$196:S$210)</f>
        <v>0.06676260247688819</v>
      </c>
      <c r="T219" s="31">
        <f>'Working counts'!T204/SUM('Working counts'!T$196:T$210)</f>
        <v>0.06719712170483637</v>
      </c>
      <c r="U219" s="31">
        <f>'Working counts'!U204/SUM('Working counts'!U$196:U$210)</f>
        <v>0.06110272844308476</v>
      </c>
      <c r="V219" s="31">
        <f>'Working counts'!V204/SUM('Working counts'!V$196:V$210)</f>
        <v>0.0627769177387498</v>
      </c>
    </row>
    <row r="220" spans="1:22" ht="12.75">
      <c r="A220" s="4" t="s">
        <v>179</v>
      </c>
      <c r="B220" s="14" t="s">
        <v>318</v>
      </c>
      <c r="C220" s="14" t="s">
        <v>318</v>
      </c>
      <c r="D220" s="14" t="s">
        <v>318</v>
      </c>
      <c r="E220" s="14" t="s">
        <v>318</v>
      </c>
      <c r="F220" s="14" t="s">
        <v>318</v>
      </c>
      <c r="G220" s="14" t="s">
        <v>318</v>
      </c>
      <c r="H220" s="14" t="s">
        <v>318</v>
      </c>
      <c r="I220" s="14" t="s">
        <v>318</v>
      </c>
      <c r="J220" s="14" t="s">
        <v>318</v>
      </c>
      <c r="K220" s="14" t="s">
        <v>318</v>
      </c>
      <c r="L220" s="31">
        <f>'Working counts'!L205/SUM('Working counts'!L$196:L$210)</f>
        <v>0.06139994191112402</v>
      </c>
      <c r="M220" s="31">
        <f>'Working counts'!M205/SUM('Working counts'!M$196:M$210)</f>
        <v>0.0651036766642833</v>
      </c>
      <c r="N220" s="31">
        <f>'Working counts'!N205/SUM('Working counts'!N$196:N$210)</f>
        <v>0.06310840707964602</v>
      </c>
      <c r="O220" s="31">
        <f>'Working counts'!O205/SUM('Working counts'!O$196:O$210)</f>
        <v>0.06618805171971723</v>
      </c>
      <c r="P220" s="31">
        <f>'Working counts'!P205/SUM('Working counts'!P$196:P$210)</f>
        <v>0.0720295653109919</v>
      </c>
      <c r="Q220" s="31">
        <f>'Working counts'!Q205/SUM('Working counts'!Q$196:Q$210)</f>
        <v>0.06855092534306936</v>
      </c>
      <c r="R220" s="31">
        <f>'Working counts'!R205/SUM('Working counts'!R$196:R$210)</f>
        <v>0.06491364698337075</v>
      </c>
      <c r="S220" s="31">
        <f>'Working counts'!S205/SUM('Working counts'!S$196:S$210)</f>
        <v>0.0612680969823827</v>
      </c>
      <c r="T220" s="31">
        <f>'Working counts'!T205/SUM('Working counts'!T$196:T$210)</f>
        <v>0.05896353698194146</v>
      </c>
      <c r="U220" s="31">
        <f>'Working counts'!U205/SUM('Working counts'!U$196:U$210)</f>
        <v>0.0584033555281773</v>
      </c>
      <c r="V220" s="31">
        <f>'Working counts'!V205/SUM('Working counts'!V$196:V$210)</f>
        <v>0.055944055944055944</v>
      </c>
    </row>
    <row r="221" spans="1:22" ht="12.75">
      <c r="A221" s="4" t="s">
        <v>180</v>
      </c>
      <c r="B221" s="14" t="s">
        <v>318</v>
      </c>
      <c r="C221" s="14" t="s">
        <v>318</v>
      </c>
      <c r="D221" s="14" t="s">
        <v>318</v>
      </c>
      <c r="E221" s="14" t="s">
        <v>318</v>
      </c>
      <c r="F221" s="14" t="s">
        <v>318</v>
      </c>
      <c r="G221" s="14" t="s">
        <v>318</v>
      </c>
      <c r="H221" s="14" t="s">
        <v>318</v>
      </c>
      <c r="I221" s="14" t="s">
        <v>318</v>
      </c>
      <c r="J221" s="14" t="s">
        <v>318</v>
      </c>
      <c r="K221" s="14" t="s">
        <v>318</v>
      </c>
      <c r="L221" s="31">
        <f>'Working counts'!L206/SUM('Working counts'!L$196:L$210)</f>
        <v>0.049298092748571984</v>
      </c>
      <c r="M221" s="31">
        <f>'Working counts'!M206/SUM('Working counts'!M$196:M$210)</f>
        <v>0.052553343619463365</v>
      </c>
      <c r="N221" s="31">
        <f>'Working counts'!N206/SUM('Working counts'!N$196:N$210)</f>
        <v>0.05707964601769912</v>
      </c>
      <c r="O221" s="31">
        <f>'Working counts'!O206/SUM('Working counts'!O$196:O$210)</f>
        <v>0.05781839493058862</v>
      </c>
      <c r="P221" s="31">
        <f>'Working counts'!P206/SUM('Working counts'!P$196:P$210)</f>
        <v>0.06241366319226422</v>
      </c>
      <c r="Q221" s="31">
        <f>'Working counts'!Q206/SUM('Working counts'!Q$196:Q$210)</f>
        <v>0.06518318015863024</v>
      </c>
      <c r="R221" s="31">
        <f>'Working counts'!R206/SUM('Working counts'!R$196:R$210)</f>
        <v>0.05790462229144716</v>
      </c>
      <c r="S221" s="31">
        <f>'Working counts'!S206/SUM('Working counts'!S$196:S$210)</f>
        <v>0.05917495203209489</v>
      </c>
      <c r="T221" s="31">
        <f>'Working counts'!T206/SUM('Working counts'!T$196:T$210)</f>
        <v>0.05687400539680343</v>
      </c>
      <c r="U221" s="31">
        <f>'Working counts'!U206/SUM('Working counts'!U$196:U$210)</f>
        <v>0.05704674760171099</v>
      </c>
      <c r="V221" s="31">
        <f>'Working counts'!V206/SUM('Working counts'!V$196:V$210)</f>
        <v>0.052487588747130734</v>
      </c>
    </row>
    <row r="222" spans="1:22" ht="12.75">
      <c r="A222" s="4" t="s">
        <v>181</v>
      </c>
      <c r="B222" s="14" t="s">
        <v>318</v>
      </c>
      <c r="C222" s="14" t="s">
        <v>318</v>
      </c>
      <c r="D222" s="14" t="s">
        <v>318</v>
      </c>
      <c r="E222" s="14" t="s">
        <v>318</v>
      </c>
      <c r="F222" s="14" t="s">
        <v>318</v>
      </c>
      <c r="G222" s="14" t="s">
        <v>318</v>
      </c>
      <c r="H222" s="14" t="s">
        <v>318</v>
      </c>
      <c r="I222" s="14" t="s">
        <v>318</v>
      </c>
      <c r="J222" s="14" t="s">
        <v>318</v>
      </c>
      <c r="K222" s="14" t="s">
        <v>318</v>
      </c>
      <c r="L222" s="31">
        <f>'Working counts'!L207/SUM('Working counts'!L$196:L$210)</f>
        <v>0.060547971730080356</v>
      </c>
      <c r="M222" s="31">
        <f>'Working counts'!M207/SUM('Working counts'!M$196:M$210)</f>
        <v>0.07165167651375456</v>
      </c>
      <c r="N222" s="31">
        <f>'Working counts'!N207/SUM('Working counts'!N$196:N$210)</f>
        <v>0.07708333333333334</v>
      </c>
      <c r="O222" s="31">
        <f>'Working counts'!O207/SUM('Working counts'!O$196:O$210)</f>
        <v>0.08893447126478883</v>
      </c>
      <c r="P222" s="31">
        <f>'Working counts'!P207/SUM('Working counts'!P$196:P$210)</f>
        <v>0.09831183509445471</v>
      </c>
      <c r="Q222" s="31">
        <f>'Working counts'!Q207/SUM('Working counts'!Q$196:Q$210)</f>
        <v>0.10518695706911746</v>
      </c>
      <c r="R222" s="31">
        <f>'Working counts'!R207/SUM('Working counts'!R$196:R$210)</f>
        <v>0.09775986073571855</v>
      </c>
      <c r="S222" s="31">
        <f>'Working counts'!S207/SUM('Working counts'!S$196:S$210)</f>
        <v>0.10472992615849759</v>
      </c>
      <c r="T222" s="31">
        <f>'Working counts'!T207/SUM('Working counts'!T$196:T$210)</f>
        <v>0.1081159620839964</v>
      </c>
      <c r="U222" s="31">
        <f>'Working counts'!U207/SUM('Working counts'!U$196:U$210)</f>
        <v>0.10242389844820665</v>
      </c>
      <c r="V222" s="31">
        <f>'Working counts'!V207/SUM('Working counts'!V$196:V$210)</f>
        <v>0.10185234612715528</v>
      </c>
    </row>
    <row r="223" spans="1:22" ht="12.75">
      <c r="A223" s="4" t="s">
        <v>182</v>
      </c>
      <c r="B223" s="14" t="s">
        <v>318</v>
      </c>
      <c r="C223" s="14" t="s">
        <v>318</v>
      </c>
      <c r="D223" s="14" t="s">
        <v>318</v>
      </c>
      <c r="E223" s="14" t="s">
        <v>318</v>
      </c>
      <c r="F223" s="14" t="s">
        <v>318</v>
      </c>
      <c r="G223" s="14" t="s">
        <v>318</v>
      </c>
      <c r="H223" s="14" t="s">
        <v>318</v>
      </c>
      <c r="I223" s="14" t="s">
        <v>318</v>
      </c>
      <c r="J223" s="14" t="s">
        <v>318</v>
      </c>
      <c r="K223" s="14" t="s">
        <v>318</v>
      </c>
      <c r="L223" s="31">
        <f>'Working counts'!L208/SUM('Working counts'!L$196:L$210)</f>
        <v>0.03831929518830477</v>
      </c>
      <c r="M223" s="31">
        <f>'Working counts'!M208/SUM('Working counts'!M$196:M$210)</f>
        <v>0.04828209084408987</v>
      </c>
      <c r="N223" s="31">
        <f>'Working counts'!N208/SUM('Working counts'!N$196:N$210)</f>
        <v>0.05615781710914454</v>
      </c>
      <c r="O223" s="31">
        <f>'Working counts'!O208/SUM('Working counts'!O$196:O$210)</f>
        <v>0.06591333650782023</v>
      </c>
      <c r="P223" s="31">
        <f>'Working counts'!P208/SUM('Working counts'!P$196:P$210)</f>
        <v>0.07699897741339409</v>
      </c>
      <c r="Q223" s="31">
        <f>'Working counts'!Q208/SUM('Working counts'!Q$196:Q$210)</f>
        <v>0.08619224474379958</v>
      </c>
      <c r="R223" s="31">
        <f>'Working counts'!R208/SUM('Working counts'!R$196:R$210)</f>
        <v>0.08015331287125689</v>
      </c>
      <c r="S223" s="31">
        <f>'Working counts'!S208/SUM('Working counts'!S$196:S$210)</f>
        <v>0.0896273039130182</v>
      </c>
      <c r="T223" s="31">
        <f>'Working counts'!T208/SUM('Working counts'!T$196:T$210)</f>
        <v>0.09982702553103162</v>
      </c>
      <c r="U223" s="31">
        <f>'Working counts'!U208/SUM('Working counts'!U$196:U$210)</f>
        <v>0.10217472556375365</v>
      </c>
      <c r="V223" s="31">
        <f>'Working counts'!V208/SUM('Working counts'!V$196:V$210)</f>
        <v>0.1071771739710671</v>
      </c>
    </row>
    <row r="224" spans="1:22" ht="12.75">
      <c r="A224" s="4" t="s">
        <v>183</v>
      </c>
      <c r="B224" s="14" t="s">
        <v>318</v>
      </c>
      <c r="C224" s="14" t="s">
        <v>318</v>
      </c>
      <c r="D224" s="14" t="s">
        <v>318</v>
      </c>
      <c r="E224" s="14" t="s">
        <v>318</v>
      </c>
      <c r="F224" s="14" t="s">
        <v>318</v>
      </c>
      <c r="G224" s="14" t="s">
        <v>318</v>
      </c>
      <c r="H224" s="14" t="s">
        <v>318</v>
      </c>
      <c r="I224" s="14" t="s">
        <v>318</v>
      </c>
      <c r="J224" s="14" t="s">
        <v>318</v>
      </c>
      <c r="K224" s="14" t="s">
        <v>318</v>
      </c>
      <c r="L224" s="31">
        <f>'Working counts'!L209/SUM('Working counts'!L$196:L$210)</f>
        <v>0.01942104753606351</v>
      </c>
      <c r="M224" s="31">
        <f>'Working counts'!M209/SUM('Working counts'!M$196:M$210)</f>
        <v>0.02530764309637602</v>
      </c>
      <c r="N224" s="31">
        <f>'Working counts'!N209/SUM('Working counts'!N$196:N$210)</f>
        <v>0.03193215339233038</v>
      </c>
      <c r="O224" s="31">
        <f>'Working counts'!O209/SUM('Working counts'!O$196:O$210)</f>
        <v>0.039595619208087615</v>
      </c>
      <c r="P224" s="31">
        <f>'Working counts'!P209/SUM('Working counts'!P$196:P$210)</f>
        <v>0.0478104088552412</v>
      </c>
      <c r="Q224" s="31">
        <f>'Working counts'!Q209/SUM('Working counts'!Q$196:Q$210)</f>
        <v>0.05536321289185446</v>
      </c>
      <c r="R224" s="31">
        <f>'Working counts'!R209/SUM('Working counts'!R$196:R$210)</f>
        <v>0.05500328309435461</v>
      </c>
      <c r="S224" s="31">
        <f>'Working counts'!S209/SUM('Working counts'!S$196:S$210)</f>
        <v>0.061631490202918776</v>
      </c>
      <c r="T224" s="31">
        <f>'Working counts'!T209/SUM('Working counts'!T$196:T$210)</f>
        <v>0.07258008717913236</v>
      </c>
      <c r="U224" s="31">
        <f>'Working counts'!U209/SUM('Working counts'!U$196:U$210)</f>
        <v>0.07561012749345922</v>
      </c>
      <c r="V224" s="31">
        <f>'Working counts'!V209/SUM('Working counts'!V$196:V$210)</f>
        <v>0.08252815886403672</v>
      </c>
    </row>
    <row r="225" spans="1:22" ht="12.75">
      <c r="A225" s="4" t="s">
        <v>186</v>
      </c>
      <c r="B225" s="14" t="s">
        <v>318</v>
      </c>
      <c r="C225" s="14" t="s">
        <v>318</v>
      </c>
      <c r="D225" s="14" t="s">
        <v>318</v>
      </c>
      <c r="E225" s="14" t="s">
        <v>318</v>
      </c>
      <c r="F225" s="14" t="s">
        <v>318</v>
      </c>
      <c r="G225" s="14" t="s">
        <v>318</v>
      </c>
      <c r="H225" s="14" t="s">
        <v>318</v>
      </c>
      <c r="I225" s="14" t="s">
        <v>318</v>
      </c>
      <c r="J225" s="14" t="s">
        <v>318</v>
      </c>
      <c r="K225" s="14" t="s">
        <v>318</v>
      </c>
      <c r="L225" s="31">
        <f>'Working counts'!L210/SUM('Working counts'!L$196:L$210)</f>
        <v>0.024029431697163327</v>
      </c>
      <c r="M225" s="31">
        <f>'Working counts'!M210/SUM('Working counts'!M$196:M$210)</f>
        <v>0.03004929815978625</v>
      </c>
      <c r="N225" s="31">
        <f>'Working counts'!N210/SUM('Working counts'!N$196:N$210)</f>
        <v>0.04872787610619469</v>
      </c>
      <c r="O225" s="31">
        <f>'Working counts'!O210/SUM('Working counts'!O$196:O$210)</f>
        <v>0.06860554558441083</v>
      </c>
      <c r="P225" s="31">
        <f>'Working counts'!P210/SUM('Working counts'!P$196:P$210)</f>
        <v>0.07079169731436465</v>
      </c>
      <c r="Q225" s="31">
        <f>'Working counts'!Q210/SUM('Working counts'!Q$196:Q$210)</f>
        <v>0.09113370263124763</v>
      </c>
      <c r="R225" s="31">
        <f>'Working counts'!R210/SUM('Working counts'!R$196:R$210)</f>
        <v>0.09751553743491075</v>
      </c>
      <c r="S225" s="31">
        <f>'Working counts'!S210/SUM('Working counts'!S$196:S$210)</f>
        <v>0.11108203965346823</v>
      </c>
      <c r="T225" s="31">
        <f>'Working counts'!T210/SUM('Working counts'!T$196:T$210)</f>
        <v>0.15411333287206808</v>
      </c>
      <c r="U225" s="31">
        <f>'Working counts'!U210/SUM('Working counts'!U$196:U$210)</f>
        <v>0.17292598181037944</v>
      </c>
      <c r="V225" s="31">
        <f>'Working counts'!V210/SUM('Working counts'!V$196:V$210)</f>
        <v>0.21313991352159292</v>
      </c>
    </row>
    <row r="226" spans="1:22" ht="12.75">
      <c r="A226" s="4"/>
      <c r="R226" s="10"/>
      <c r="S226" s="10"/>
      <c r="T226" s="10"/>
      <c r="U226" s="10"/>
      <c r="V226" s="10"/>
    </row>
    <row r="227" spans="1:22" ht="12.75">
      <c r="A227" s="4" t="s">
        <v>203</v>
      </c>
      <c r="R227" s="10"/>
      <c r="S227" s="10"/>
      <c r="T227" s="10"/>
      <c r="U227" s="10"/>
      <c r="V227" s="10"/>
    </row>
    <row r="228" spans="1:22" ht="12.75">
      <c r="A228" s="4" t="s">
        <v>188</v>
      </c>
      <c r="B228" s="14" t="s">
        <v>242</v>
      </c>
      <c r="C228" s="31">
        <f>'Working counts'!C216/SUM('Working counts'!C$216:C$225)</f>
        <v>0.0472622838234376</v>
      </c>
      <c r="D228" s="31">
        <f>'Working counts'!D216/SUM('Working counts'!D$216:D$225)</f>
        <v>0.0425694000060944</v>
      </c>
      <c r="E228" s="31">
        <f>'Working counts'!E216/SUM('Working counts'!E$216:E$225)</f>
        <v>0.03861258506460413</v>
      </c>
      <c r="F228" s="31">
        <f>'Working counts'!F216/SUM('Working counts'!F$216:F$225)</f>
        <v>0.03665527824425271</v>
      </c>
      <c r="G228" s="31">
        <f>'Working counts'!G216/SUM('Working counts'!G$216:G$225)</f>
        <v>0.03454846030989941</v>
      </c>
      <c r="H228" s="31">
        <f>'Working counts'!H216/SUM('Working counts'!H$216:H$225)</f>
        <v>0.0337048257952824</v>
      </c>
      <c r="I228" s="31">
        <f>'Working counts'!I216/SUM('Working counts'!I$216:I$225)</f>
        <v>0.034501033441093856</v>
      </c>
      <c r="J228" s="31">
        <f>'Working counts'!J216/SUM('Working counts'!J$216:J$225)</f>
        <v>0.033935722353424375</v>
      </c>
      <c r="K228" s="31">
        <f>'Working counts'!K216/SUM('Working counts'!K$216:K$225)</f>
        <v>0.03345801096479992</v>
      </c>
      <c r="L228" s="31">
        <f>'Working counts'!L216/SUM('Working counts'!L$216:L$225)</f>
        <v>0.03666302054848035</v>
      </c>
      <c r="M228" s="31">
        <f>'Working counts'!M216/SUM('Working counts'!M$216:M$225)</f>
        <v>0.044185518650223195</v>
      </c>
      <c r="N228" s="31">
        <f>'Working counts'!N216/SUM('Working counts'!N$216:N$225)</f>
        <v>0.052647233789411066</v>
      </c>
      <c r="O228" s="31">
        <f>'Working counts'!O216/SUM('Working counts'!O$216:O$225)</f>
        <v>0.04685769145557935</v>
      </c>
      <c r="P228" s="31">
        <f>'Working counts'!P216/SUM('Working counts'!P$216:P$225)</f>
        <v>0.04061291552440951</v>
      </c>
      <c r="Q228" s="31">
        <f>'Working counts'!Q216/SUM('Working counts'!Q$216:Q$225)</f>
        <v>0.04561195369865649</v>
      </c>
      <c r="R228" s="31">
        <f>'Working counts'!R216/SUM('Working counts'!R$216:R$225)</f>
        <v>0.06888888888888889</v>
      </c>
      <c r="S228" s="31">
        <f>'Working counts'!S216/SUM('Working counts'!S$216:S$225)</f>
        <v>0.07637122063783208</v>
      </c>
      <c r="T228" s="31">
        <f>'Working counts'!T216/SUM('Working counts'!T$216:T$225)</f>
        <v>0.06938394523957685</v>
      </c>
      <c r="U228" s="31">
        <f>'Working counts'!U216/SUM('Working counts'!U$216:U$225)</f>
        <v>0.07071760891019314</v>
      </c>
      <c r="V228" s="31">
        <f>'Working counts'!V216/SUM('Working counts'!V$216:V$225)</f>
        <v>0.05467822049454703</v>
      </c>
    </row>
    <row r="229" spans="1:22" ht="12.75">
      <c r="A229" s="4" t="s">
        <v>189</v>
      </c>
      <c r="B229" s="14" t="s">
        <v>242</v>
      </c>
      <c r="C229" s="31">
        <f>'Working counts'!C217/SUM('Working counts'!C$216:C$225)</f>
        <v>0.19816445027158644</v>
      </c>
      <c r="D229" s="31">
        <f>'Working counts'!D217/SUM('Working counts'!D$216:D$225)</f>
        <v>0.19084620775817412</v>
      </c>
      <c r="E229" s="31">
        <f>'Working counts'!E217/SUM('Working counts'!E$216:E$225)</f>
        <v>0.1816410348652457</v>
      </c>
      <c r="F229" s="31">
        <f>'Working counts'!F217/SUM('Working counts'!F$216:F$225)</f>
        <v>0.1752562395043141</v>
      </c>
      <c r="G229" s="31">
        <f>'Working counts'!G217/SUM('Working counts'!G$216:G$225)</f>
        <v>0.17445151167026254</v>
      </c>
      <c r="H229" s="31">
        <f>'Working counts'!H217/SUM('Working counts'!H$216:H$225)</f>
        <v>0.176828608526293</v>
      </c>
      <c r="I229" s="31">
        <f>'Working counts'!I217/SUM('Working counts'!I$216:I$225)</f>
        <v>0.17059727595527055</v>
      </c>
      <c r="J229" s="31">
        <f>'Working counts'!J217/SUM('Working counts'!J$216:J$225)</f>
        <v>0.18015196632097752</v>
      </c>
      <c r="K229" s="31">
        <f>'Working counts'!K217/SUM('Working counts'!K$216:K$225)</f>
        <v>0.17161961367013373</v>
      </c>
      <c r="L229" s="31">
        <f>'Working counts'!L217/SUM('Working counts'!L$216:L$225)</f>
        <v>0.17552152511914992</v>
      </c>
      <c r="M229" s="31">
        <f>'Working counts'!M217/SUM('Working counts'!M$216:M$225)</f>
        <v>0.1721078913520466</v>
      </c>
      <c r="N229" s="31">
        <f>'Working counts'!N217/SUM('Working counts'!N$216:N$225)</f>
        <v>0.18162552052349792</v>
      </c>
      <c r="O229" s="31">
        <f>'Working counts'!O217/SUM('Working counts'!O$216:O$225)</f>
        <v>0.16193412598774093</v>
      </c>
      <c r="P229" s="31">
        <f>'Working counts'!P217/SUM('Working counts'!P$216:P$225)</f>
        <v>0.14654781140502168</v>
      </c>
      <c r="Q229" s="31">
        <f>'Working counts'!Q217/SUM('Working counts'!Q$216:Q$225)</f>
        <v>0.15342931349600794</v>
      </c>
      <c r="R229" s="31">
        <f>'Working counts'!R217/SUM('Working counts'!R$216:R$225)</f>
        <v>0.17774669774669774</v>
      </c>
      <c r="S229" s="31">
        <f>'Working counts'!S217/SUM('Working counts'!S$216:S$225)</f>
        <v>0.1773859534938761</v>
      </c>
      <c r="T229" s="31">
        <f>'Working counts'!T217/SUM('Working counts'!T$216:T$225)</f>
        <v>0.1574220738813147</v>
      </c>
      <c r="U229" s="31">
        <f>'Working counts'!U217/SUM('Working counts'!U$216:U$225)</f>
        <v>0.15822642041449317</v>
      </c>
      <c r="V229" s="31">
        <f>'Working counts'!V217/SUM('Working counts'!V$216:V$225)</f>
        <v>0.14524619371558148</v>
      </c>
    </row>
    <row r="230" spans="1:22" ht="12.75">
      <c r="A230" s="4" t="s">
        <v>190</v>
      </c>
      <c r="B230" s="14" t="s">
        <v>242</v>
      </c>
      <c r="C230" s="31">
        <f>'Working counts'!C218/SUM('Working counts'!C$216:C$225)</f>
        <v>0.2417119310732347</v>
      </c>
      <c r="D230" s="31">
        <f>'Working counts'!D218/SUM('Working counts'!D$216:D$225)</f>
        <v>0.2329280555809489</v>
      </c>
      <c r="E230" s="31">
        <f>'Working counts'!E218/SUM('Working counts'!E$216:E$225)</f>
        <v>0.2321551698294211</v>
      </c>
      <c r="F230" s="31">
        <f>'Working counts'!F218/SUM('Working counts'!F$216:F$225)</f>
        <v>0.2218426081417569</v>
      </c>
      <c r="G230" s="31">
        <f>'Working counts'!G218/SUM('Working counts'!G$216:G$225)</f>
        <v>0.21527641570231723</v>
      </c>
      <c r="H230" s="31">
        <f>'Working counts'!H218/SUM('Working counts'!H$216:H$225)</f>
        <v>0.2128056697684484</v>
      </c>
      <c r="I230" s="31">
        <f>'Working counts'!I218/SUM('Working counts'!I$216:I$225)</f>
        <v>0.21039800731358313</v>
      </c>
      <c r="J230" s="31">
        <f>'Working counts'!J218/SUM('Working counts'!J$216:J$225)</f>
        <v>0.2104425505698737</v>
      </c>
      <c r="K230" s="31">
        <f>'Working counts'!K218/SUM('Working counts'!K$216:K$225)</f>
        <v>0.20640979658759032</v>
      </c>
      <c r="L230" s="31">
        <f>'Working counts'!L218/SUM('Working counts'!L$216:L$225)</f>
        <v>0.1900343776857567</v>
      </c>
      <c r="M230" s="31">
        <f>'Working counts'!M218/SUM('Working counts'!M$216:M$225)</f>
        <v>0.18534841492017856</v>
      </c>
      <c r="N230" s="31">
        <f>'Working counts'!N218/SUM('Working counts'!N$216:N$225)</f>
        <v>0.17863251041046996</v>
      </c>
      <c r="O230" s="31">
        <f>'Working counts'!O218/SUM('Working counts'!O$216:O$225)</f>
        <v>0.17585481131378775</v>
      </c>
      <c r="P230" s="31">
        <f>'Working counts'!P218/SUM('Working counts'!P$216:P$225)</f>
        <v>0.17706650206060165</v>
      </c>
      <c r="Q230" s="31">
        <f>'Working counts'!Q218/SUM('Working counts'!Q$216:Q$225)</f>
        <v>0.18052393625549107</v>
      </c>
      <c r="R230" s="31">
        <f>'Working counts'!R218/SUM('Working counts'!R$216:R$225)</f>
        <v>0.17476301476301476</v>
      </c>
      <c r="S230" s="31">
        <f>'Working counts'!S218/SUM('Working counts'!S$216:S$225)</f>
        <v>0.17673510443169044</v>
      </c>
      <c r="T230" s="31">
        <f>'Working counts'!T218/SUM('Working counts'!T$216:T$225)</f>
        <v>0.17418113933359733</v>
      </c>
      <c r="U230" s="31">
        <f>'Working counts'!U218/SUM('Working counts'!U$216:U$225)</f>
        <v>0.16801071478922883</v>
      </c>
      <c r="V230" s="31">
        <f>'Working counts'!V218/SUM('Working counts'!V$216:V$225)</f>
        <v>0.15403304178814384</v>
      </c>
    </row>
    <row r="231" spans="1:22" ht="12.75">
      <c r="A231" s="4" t="s">
        <v>200</v>
      </c>
      <c r="B231" s="14" t="s">
        <v>242</v>
      </c>
      <c r="C231" s="31">
        <f>'Working counts'!C219/SUM('Working counts'!C$216:C$225)</f>
        <v>0.19744646313292127</v>
      </c>
      <c r="D231" s="31">
        <f>'Working counts'!D219/SUM('Working counts'!D$216:D$225)</f>
        <v>0.19968309108084226</v>
      </c>
      <c r="E231" s="31">
        <f>'Working counts'!E219/SUM('Working counts'!E$216:E$225)</f>
        <v>0.19489162694486914</v>
      </c>
      <c r="F231" s="31">
        <f>'Working counts'!F219/SUM('Working counts'!F$216:F$225)</f>
        <v>0.19616075047773468</v>
      </c>
      <c r="G231" s="31">
        <f>'Working counts'!G219/SUM('Working counts'!G$216:G$225)</f>
        <v>0.18700439911457312</v>
      </c>
      <c r="H231" s="31">
        <f>'Working counts'!H219/SUM('Working counts'!H$216:H$225)</f>
        <v>0.1825632979874486</v>
      </c>
      <c r="I231" s="31">
        <f>'Working counts'!I219/SUM('Working counts'!I$216:I$225)</f>
        <v>0.18350204038369813</v>
      </c>
      <c r="J231" s="31">
        <f>'Working counts'!J219/SUM('Working counts'!J$216:J$225)</f>
        <v>0.1771229078960879</v>
      </c>
      <c r="K231" s="31">
        <f>'Working counts'!K219/SUM('Working counts'!K$216:K$225)</f>
        <v>0.17174770712711995</v>
      </c>
      <c r="L231" s="31">
        <f>'Working counts'!L219/SUM('Working counts'!L$216:L$225)</f>
        <v>0.1648761622001719</v>
      </c>
      <c r="M231" s="31">
        <f>'Working counts'!M219/SUM('Working counts'!M$216:M$225)</f>
        <v>0.1627638647196792</v>
      </c>
      <c r="N231" s="31">
        <f>'Working counts'!N219/SUM('Working counts'!N$216:N$225)</f>
        <v>0.16247769185008923</v>
      </c>
      <c r="O231" s="31">
        <f>'Working counts'!O219/SUM('Working counts'!O$216:O$225)</f>
        <v>0.16483273022671885</v>
      </c>
      <c r="P231" s="31">
        <f>'Working counts'!P219/SUM('Working counts'!P$216:P$225)</f>
        <v>0.17959005827780905</v>
      </c>
      <c r="Q231" s="31">
        <f>'Working counts'!Q219/SUM('Working counts'!Q$216:Q$225)</f>
        <v>0.17053580017314907</v>
      </c>
      <c r="R231" s="31">
        <f>'Working counts'!R219/SUM('Working counts'!R$216:R$225)</f>
        <v>0.159005439005439</v>
      </c>
      <c r="S231" s="31">
        <f>'Working counts'!S219/SUM('Working counts'!S$216:S$225)</f>
        <v>0.1643098041536004</v>
      </c>
      <c r="T231" s="31">
        <f>'Working counts'!T219/SUM('Working counts'!T$216:T$225)</f>
        <v>0.1543389715449454</v>
      </c>
      <c r="U231" s="31">
        <f>'Working counts'!U219/SUM('Working counts'!U$216:U$225)</f>
        <v>0.15740871281545185</v>
      </c>
      <c r="V231" s="31">
        <f>'Working counts'!V219/SUM('Working counts'!V$216:V$225)</f>
        <v>0.15520732102364757</v>
      </c>
    </row>
    <row r="232" spans="1:22" ht="12.75">
      <c r="A232" s="4" t="s">
        <v>191</v>
      </c>
      <c r="B232" s="14" t="s">
        <v>242</v>
      </c>
      <c r="C232" s="31">
        <f>'Working counts'!C220/SUM('Working counts'!C$216:C$225)</f>
        <v>0.12421177498907411</v>
      </c>
      <c r="D232" s="31">
        <f>'Working counts'!D220/SUM('Working counts'!D$216:D$225)</f>
        <v>0.12819575220160284</v>
      </c>
      <c r="E232" s="31">
        <f>'Working counts'!E220/SUM('Working counts'!E$216:E$225)</f>
        <v>0.13523398387145127</v>
      </c>
      <c r="F232" s="31">
        <f>'Working counts'!F220/SUM('Working counts'!F$216:F$225)</f>
        <v>0.1344605941282066</v>
      </c>
      <c r="G232" s="31">
        <f>'Working counts'!G220/SUM('Working counts'!G$216:G$225)</f>
        <v>0.13931463476141107</v>
      </c>
      <c r="H232" s="31">
        <f>'Working counts'!H220/SUM('Working counts'!H$216:H$225)</f>
        <v>0.13987773209262064</v>
      </c>
      <c r="I232" s="31">
        <f>'Working counts'!I220/SUM('Working counts'!I$216:I$225)</f>
        <v>0.13368487996184217</v>
      </c>
      <c r="J232" s="31">
        <f>'Working counts'!J220/SUM('Working counts'!J$216:J$225)</f>
        <v>0.1301725023102988</v>
      </c>
      <c r="K232" s="31">
        <f>'Working counts'!K220/SUM('Working counts'!K$216:K$225)</f>
        <v>0.12699185325613568</v>
      </c>
      <c r="L232" s="31">
        <f>'Working counts'!L220/SUM('Working counts'!L$216:L$225)</f>
        <v>0.12641612625986406</v>
      </c>
      <c r="M232" s="31">
        <f>'Working counts'!M220/SUM('Working counts'!M$216:M$225)</f>
        <v>0.13223500037830066</v>
      </c>
      <c r="N232" s="31">
        <f>'Working counts'!N220/SUM('Working counts'!N$216:N$225)</f>
        <v>0.1271192742415229</v>
      </c>
      <c r="O232" s="31">
        <f>'Working counts'!O220/SUM('Working counts'!O$216:O$225)</f>
        <v>0.12964330551657927</v>
      </c>
      <c r="P232" s="31">
        <f>'Working counts'!P220/SUM('Working counts'!P$216:P$225)</f>
        <v>0.1363628111326955</v>
      </c>
      <c r="Q232" s="31">
        <f>'Working counts'!Q220/SUM('Working counts'!Q$216:Q$225)</f>
        <v>0.13104819315740532</v>
      </c>
      <c r="R232" s="31">
        <f>'Working counts'!R220/SUM('Working counts'!R$216:R$225)</f>
        <v>0.11742035742035742</v>
      </c>
      <c r="S232" s="31">
        <f>'Working counts'!S220/SUM('Working counts'!S$216:S$225)</f>
        <v>0.11480089935506775</v>
      </c>
      <c r="T232" s="31">
        <f>'Working counts'!T220/SUM('Working counts'!T$216:T$225)</f>
        <v>0.12083498331164791</v>
      </c>
      <c r="U232" s="31">
        <f>'Working counts'!U220/SUM('Working counts'!U$216:U$225)</f>
        <v>0.1194980967150712</v>
      </c>
      <c r="V232" s="31">
        <f>'Working counts'!V220/SUM('Working counts'!V$216:V$225)</f>
        <v>0.12076179678220494</v>
      </c>
    </row>
    <row r="233" spans="1:22" ht="12.75">
      <c r="A233" s="4" t="s">
        <v>192</v>
      </c>
      <c r="B233" s="14" t="s">
        <v>242</v>
      </c>
      <c r="C233" s="31">
        <f>'Working counts'!C221/SUM('Working counts'!C$216:C$225)</f>
        <v>0.07279765249422489</v>
      </c>
      <c r="D233" s="31">
        <f>'Working counts'!D221/SUM('Working counts'!D$216:D$225)</f>
        <v>0.07362037968126275</v>
      </c>
      <c r="E233" s="31">
        <f>'Working counts'!E221/SUM('Working counts'!E$216:E$225)</f>
        <v>0.07830440387325</v>
      </c>
      <c r="F233" s="31">
        <f>'Working counts'!F221/SUM('Working counts'!F$216:F$225)</f>
        <v>0.08257571370664196</v>
      </c>
      <c r="G233" s="31">
        <f>'Working counts'!G221/SUM('Working counts'!G$216:G$225)</f>
        <v>0.08666535907422455</v>
      </c>
      <c r="H233" s="31">
        <f>'Working counts'!H221/SUM('Working counts'!H$216:H$225)</f>
        <v>0.08615559402726683</v>
      </c>
      <c r="I233" s="31">
        <f>'Working counts'!I221/SUM('Working counts'!I$216:I$225)</f>
        <v>0.0864645715194234</v>
      </c>
      <c r="J233" s="31">
        <f>'Working counts'!J221/SUM('Working counts'!J$216:J$225)</f>
        <v>0.08476229592360612</v>
      </c>
      <c r="K233" s="31">
        <f>'Working counts'!K221/SUM('Working counts'!K$216:K$225)</f>
        <v>0.08997284418711893</v>
      </c>
      <c r="L233" s="31">
        <f>'Working counts'!L221/SUM('Working counts'!L$216:L$225)</f>
        <v>0.09160871943120556</v>
      </c>
      <c r="M233" s="31">
        <f>'Working counts'!M221/SUM('Working counts'!M$216:M$225)</f>
        <v>0.09054626617235378</v>
      </c>
      <c r="N233" s="31">
        <f>'Working counts'!N221/SUM('Working counts'!N$216:N$225)</f>
        <v>0.0939359012492564</v>
      </c>
      <c r="O233" s="31">
        <f>'Working counts'!O221/SUM('Working counts'!O$216:O$225)</f>
        <v>0.09594933904438373</v>
      </c>
      <c r="P233" s="31">
        <f>'Working counts'!P221/SUM('Working counts'!P$216:P$225)</f>
        <v>0.09447903995933261</v>
      </c>
      <c r="Q233" s="31">
        <f>'Working counts'!Q221/SUM('Working counts'!Q$216:Q$225)</f>
        <v>0.08854650976368358</v>
      </c>
      <c r="R233" s="31">
        <f>'Working counts'!R221/SUM('Working counts'!R$216:R$225)</f>
        <v>0.08077700077700077</v>
      </c>
      <c r="S233" s="31">
        <f>'Working counts'!S221/SUM('Working counts'!S$216:S$225)</f>
        <v>0.08140050884563044</v>
      </c>
      <c r="T233" s="31">
        <f>'Working counts'!T221/SUM('Working counts'!T$216:T$225)</f>
        <v>0.08389432596028738</v>
      </c>
      <c r="U233" s="31">
        <f>'Working counts'!U221/SUM('Working counts'!U$216:U$225)</f>
        <v>0.08667700549837869</v>
      </c>
      <c r="V233" s="31">
        <f>'Working counts'!V221/SUM('Working counts'!V$216:V$225)</f>
        <v>0.09162077529424469</v>
      </c>
    </row>
    <row r="234" spans="1:22" ht="12.75">
      <c r="A234" s="4" t="s">
        <v>193</v>
      </c>
      <c r="B234" s="14" t="s">
        <v>242</v>
      </c>
      <c r="C234" s="31">
        <f>'Working counts'!C222/SUM('Working counts'!C$216:C$225)</f>
        <v>0.037460198539052254</v>
      </c>
      <c r="D234" s="31">
        <f>'Working counts'!D222/SUM('Working counts'!D$216:D$225)</f>
        <v>0.04174665569674254</v>
      </c>
      <c r="E234" s="31">
        <f>'Working counts'!E222/SUM('Working counts'!E$216:E$225)</f>
        <v>0.04541775339508949</v>
      </c>
      <c r="F234" s="31">
        <f>'Working counts'!F222/SUM('Working counts'!F$216:F$225)</f>
        <v>0.04942382303549713</v>
      </c>
      <c r="G234" s="31">
        <f>'Working counts'!G222/SUM('Working counts'!G$216:G$225)</f>
        <v>0.052453136820869176</v>
      </c>
      <c r="H234" s="31">
        <f>'Working counts'!H222/SUM('Working counts'!H$216:H$225)</f>
        <v>0.05196386063622593</v>
      </c>
      <c r="I234" s="31">
        <f>'Working counts'!I222/SUM('Working counts'!I$216:I$225)</f>
        <v>0.05201653505750172</v>
      </c>
      <c r="J234" s="31">
        <f>'Working counts'!J222/SUM('Working counts'!J$216:J$225)</f>
        <v>0.05331656227538761</v>
      </c>
      <c r="K234" s="31">
        <f>'Working counts'!K222/SUM('Working counts'!K$216:K$225)</f>
        <v>0.057052825741661116</v>
      </c>
      <c r="L234" s="31">
        <f>'Working counts'!L222/SUM('Working counts'!L$216:L$225)</f>
        <v>0.06219235877802953</v>
      </c>
      <c r="M234" s="31">
        <f>'Working counts'!M222/SUM('Working counts'!M$216:M$225)</f>
        <v>0.0599039116289627</v>
      </c>
      <c r="N234" s="31">
        <f>'Working counts'!N222/SUM('Working counts'!N$216:N$225)</f>
        <v>0.05844735276621059</v>
      </c>
      <c r="O234" s="31">
        <f>'Working counts'!O222/SUM('Working counts'!O$216:O$225)</f>
        <v>0.06207074809836792</v>
      </c>
      <c r="P234" s="31">
        <f>'Working counts'!P222/SUM('Working counts'!P$216:P$225)</f>
        <v>0.06114631179535593</v>
      </c>
      <c r="Q234" s="31">
        <f>'Working counts'!Q222/SUM('Working counts'!Q$216:Q$225)</f>
        <v>0.057491903677814475</v>
      </c>
      <c r="R234" s="31">
        <f>'Working counts'!R222/SUM('Working counts'!R$216:R$225)</f>
        <v>0.05417249417249417</v>
      </c>
      <c r="S234" s="31">
        <f>'Working counts'!S222/SUM('Working counts'!S$216:S$225)</f>
        <v>0.05103248328501272</v>
      </c>
      <c r="T234" s="31">
        <f>'Working counts'!T222/SUM('Working counts'!T$216:T$225)</f>
        <v>0.05913050857045879</v>
      </c>
      <c r="U234" s="31">
        <f>'Working counts'!U222/SUM('Working counts'!U$216:U$225)</f>
        <v>0.05969265473001551</v>
      </c>
      <c r="V234" s="31">
        <f>'Working counts'!V222/SUM('Working counts'!V$216:V$225)</f>
        <v>0.062871180218119</v>
      </c>
    </row>
    <row r="235" spans="1:22" ht="12.75">
      <c r="A235" s="4" t="s">
        <v>194</v>
      </c>
      <c r="B235" s="14" t="s">
        <v>242</v>
      </c>
      <c r="C235" s="31">
        <f>'Working counts'!C223/SUM('Working counts'!C$216:C$225)</f>
        <v>0.02060310919647874</v>
      </c>
      <c r="D235" s="31">
        <f>'Working counts'!D223/SUM('Working counts'!D$216:D$225)</f>
        <v>0.024316665143066095</v>
      </c>
      <c r="E235" s="31">
        <f>'Working counts'!E223/SUM('Working counts'!E$216:E$225)</f>
        <v>0.02620139700812423</v>
      </c>
      <c r="F235" s="31">
        <f>'Working counts'!F223/SUM('Working counts'!F$216:F$225)</f>
        <v>0.028693033759916612</v>
      </c>
      <c r="G235" s="31">
        <f>'Working counts'!G223/SUM('Working counts'!G$216:G$225)</f>
        <v>0.03051360363137101</v>
      </c>
      <c r="H235" s="31">
        <f>'Working counts'!H223/SUM('Working counts'!H$216:H$225)</f>
        <v>0.031811296256221595</v>
      </c>
      <c r="I235" s="31">
        <f>'Working counts'!I223/SUM('Working counts'!I$216:I$225)</f>
        <v>0.03317610896178918</v>
      </c>
      <c r="J235" s="31">
        <f>'Working counts'!J223/SUM('Working counts'!J$216:J$225)</f>
        <v>0.034449122086456514</v>
      </c>
      <c r="K235" s="31">
        <f>'Working counts'!K223/SUM('Working counts'!K$216:K$225)</f>
        <v>0.0358661679561408</v>
      </c>
      <c r="L235" s="31">
        <f>'Working counts'!L223/SUM('Working counts'!L$216:L$225)</f>
        <v>0.03732713493241659</v>
      </c>
      <c r="M235" s="31">
        <f>'Working counts'!M223/SUM('Working counts'!M$216:M$225)</f>
        <v>0.039059544525989254</v>
      </c>
      <c r="N235" s="31">
        <f>'Working counts'!N223/SUM('Working counts'!N$216:N$225)</f>
        <v>0.035804580606781676</v>
      </c>
      <c r="O235" s="31">
        <f>'Working counts'!O223/SUM('Working counts'!O$216:O$225)</f>
        <v>0.04085739605642124</v>
      </c>
      <c r="P235" s="31">
        <f>'Working counts'!P223/SUM('Working counts'!P$216:P$225)</f>
        <v>0.03828906519489479</v>
      </c>
      <c r="Q235" s="31">
        <f>'Working counts'!Q223/SUM('Working counts'!Q$216:Q$225)</f>
        <v>0.038509635425016835</v>
      </c>
      <c r="R235" s="31">
        <f>'Working counts'!R223/SUM('Working counts'!R$216:R$225)</f>
        <v>0.032773892773892775</v>
      </c>
      <c r="S235" s="31">
        <f>'Working counts'!S223/SUM('Working counts'!S$216:S$225)</f>
        <v>0.03591503461333649</v>
      </c>
      <c r="T235" s="31">
        <f>'Working counts'!T223/SUM('Working counts'!T$216:T$225)</f>
        <v>0.038581207218419414</v>
      </c>
      <c r="U235" s="31">
        <f>'Working counts'!U223/SUM('Working counts'!U$216:U$225)</f>
        <v>0.03922176794022275</v>
      </c>
      <c r="V235" s="31">
        <f>'Working counts'!V223/SUM('Working counts'!V$216:V$225)</f>
        <v>0.045135514523269624</v>
      </c>
    </row>
    <row r="236" spans="1:22" ht="12.75">
      <c r="A236" s="4" t="s">
        <v>195</v>
      </c>
      <c r="B236" s="14" t="s">
        <v>242</v>
      </c>
      <c r="C236" s="31">
        <f>'Working counts'!C224/SUM('Working counts'!C$216:C$225)</f>
        <v>0.022881937940937753</v>
      </c>
      <c r="D236" s="31">
        <f>'Working counts'!D224/SUM('Working counts'!D$216:D$225)</f>
        <v>0.02641923393363196</v>
      </c>
      <c r="E236" s="31">
        <f>'Working counts'!E224/SUM('Working counts'!E$216:E$225)</f>
        <v>0.025361992984980663</v>
      </c>
      <c r="F236" s="31">
        <f>'Working counts'!F224/SUM('Working counts'!F$216:F$225)</f>
        <v>0.028490358445769876</v>
      </c>
      <c r="G236" s="31">
        <f>'Working counts'!G224/SUM('Working counts'!G$216:G$225)</f>
        <v>0.029785087842192273</v>
      </c>
      <c r="H236" s="31">
        <f>'Working counts'!H224/SUM('Working counts'!H$216:H$225)</f>
        <v>0.03427288465700065</v>
      </c>
      <c r="I236" s="31">
        <f>'Working counts'!I224/SUM('Working counts'!I$216:I$225)</f>
        <v>0.03728337484763369</v>
      </c>
      <c r="J236" s="31">
        <f>'Working counts'!J224/SUM('Working counts'!J$216:J$225)</f>
        <v>0.03521922168600472</v>
      </c>
      <c r="K236" s="31">
        <f>'Working counts'!K224/SUM('Working counts'!K$216:K$225)</f>
        <v>0.039606496900138344</v>
      </c>
      <c r="L236" s="31">
        <f>'Working counts'!L224/SUM('Working counts'!L$216:L$225)</f>
        <v>0.04316743495585593</v>
      </c>
      <c r="M236" s="31">
        <f>'Working counts'!M224/SUM('Working counts'!M$216:M$225)</f>
        <v>0.0427668911250662</v>
      </c>
      <c r="N236" s="31">
        <f>'Working counts'!N224/SUM('Working counts'!N$216:N$225)</f>
        <v>0.04067519333729923</v>
      </c>
      <c r="O236" s="31">
        <f>'Working counts'!O224/SUM('Working counts'!O$216:O$225)</f>
        <v>0.04626689313935455</v>
      </c>
      <c r="P236" s="31">
        <f>'Working counts'!P224/SUM('Working counts'!P$216:P$225)</f>
        <v>0.0436811241625969</v>
      </c>
      <c r="Q236" s="31">
        <f>'Working counts'!Q224/SUM('Working counts'!Q$216:Q$225)</f>
        <v>0.04309487927662167</v>
      </c>
      <c r="R236" s="31">
        <f>'Working counts'!R224/SUM('Working counts'!R$216:R$225)</f>
        <v>0.040683760683760686</v>
      </c>
      <c r="S236" s="31">
        <f>'Working counts'!S224/SUM('Working counts'!S$216:S$225)</f>
        <v>0.03860718300692267</v>
      </c>
      <c r="T236" s="31">
        <f>'Working counts'!T224/SUM('Working counts'!T$216:T$225)</f>
        <v>0.044690841206087004</v>
      </c>
      <c r="U236" s="31">
        <f>'Working counts'!U224/SUM('Working counts'!U$216:U$225)</f>
        <v>0.04514309882983223</v>
      </c>
      <c r="V236" s="31">
        <f>'Working counts'!V224/SUM('Working counts'!V$216:V$225)</f>
        <v>0.050871936076017706</v>
      </c>
    </row>
    <row r="237" spans="1:22" ht="12.75">
      <c r="A237" s="25" t="s">
        <v>258</v>
      </c>
      <c r="B237" s="14" t="s">
        <v>242</v>
      </c>
      <c r="C237" s="31">
        <f>'Working counts'!C225/SUM('Working counts'!C$216:C$225)</f>
        <v>0.037460198539052254</v>
      </c>
      <c r="D237" s="31">
        <f>'Working counts'!D225/SUM('Working counts'!D$216:D$225)</f>
        <v>0.039674558917634155</v>
      </c>
      <c r="E237" s="31">
        <f>'Working counts'!E225/SUM('Working counts'!E$216:E$225)</f>
        <v>0.0421800521629643</v>
      </c>
      <c r="F237" s="31">
        <f>'Working counts'!F225/SUM('Working counts'!F$216:F$225)</f>
        <v>0.046441600555909436</v>
      </c>
      <c r="G237" s="31">
        <f>'Working counts'!G225/SUM('Working counts'!G$216:G$225)</f>
        <v>0.0499873910728796</v>
      </c>
      <c r="H237" s="31">
        <f>'Working counts'!H225/SUM('Working counts'!H$216:H$225)</f>
        <v>0.05001623025319195</v>
      </c>
      <c r="I237" s="31">
        <f>'Working counts'!I225/SUM('Working counts'!I$216:I$225)</f>
        <v>0.058376172558164185</v>
      </c>
      <c r="J237" s="31">
        <f>'Working counts'!J225/SUM('Working counts'!J$216:J$225)</f>
        <v>0.06042714857788274</v>
      </c>
      <c r="K237" s="31">
        <f>'Working counts'!K225/SUM('Working counts'!K$216:K$225)</f>
        <v>0.06727468360916124</v>
      </c>
      <c r="L237" s="31">
        <f>'Working counts'!L225/SUM('Working counts'!L$216:L$225)</f>
        <v>0.07219314008906946</v>
      </c>
      <c r="M237" s="31">
        <f>'Working counts'!M225/SUM('Working counts'!M$216:M$225)</f>
        <v>0.07108269652719981</v>
      </c>
      <c r="N237" s="31">
        <f>'Working counts'!N225/SUM('Working counts'!N$216:N$225)</f>
        <v>0.06863474122546104</v>
      </c>
      <c r="O237" s="31">
        <f>'Working counts'!O225/SUM('Working counts'!O$216:O$225)</f>
        <v>0.07573295916106638</v>
      </c>
      <c r="P237" s="31">
        <f>'Working counts'!P225/SUM('Working counts'!P$216:P$225)</f>
        <v>0.08222436048728236</v>
      </c>
      <c r="Q237" s="31">
        <f>'Working counts'!Q225/SUM('Working counts'!Q$216:Q$225)</f>
        <v>0.09120787507615352</v>
      </c>
      <c r="R237" s="31">
        <f>'Working counts'!R225/SUM('Working counts'!R$216:R$225)</f>
        <v>0.09376845376845377</v>
      </c>
      <c r="S237" s="31">
        <f>'Working counts'!S225/SUM('Working counts'!S$216:S$225)</f>
        <v>0.08344180817703095</v>
      </c>
      <c r="T237" s="31">
        <f>'Working counts'!T225/SUM('Working counts'!T$216:T$225)</f>
        <v>0.09754200373366521</v>
      </c>
      <c r="U237" s="31">
        <f>'Working counts'!U225/SUM('Working counts'!U$216:U$225)</f>
        <v>0.09540391935711265</v>
      </c>
      <c r="V237" s="31">
        <f>'Working counts'!V225/SUM('Working counts'!V$216:V$225)</f>
        <v>0.11957402008422417</v>
      </c>
    </row>
    <row r="238" spans="1:22" ht="12.75">
      <c r="A238" s="25"/>
      <c r="B238" s="14"/>
      <c r="C238" s="31">
        <f>SUM(C228:C237)</f>
        <v>1</v>
      </c>
      <c r="D238" s="31">
        <f aca="true" t="shared" si="18" ref="D238:V238">SUM(D228:D237)</f>
        <v>1</v>
      </c>
      <c r="E238" s="31">
        <f t="shared" si="18"/>
        <v>0.9999999999999999</v>
      </c>
      <c r="F238" s="31">
        <f t="shared" si="18"/>
        <v>1</v>
      </c>
      <c r="G238" s="31">
        <f t="shared" si="18"/>
        <v>1</v>
      </c>
      <c r="H238" s="31">
        <f t="shared" si="18"/>
        <v>0.9999999999999999</v>
      </c>
      <c r="I238" s="31">
        <f t="shared" si="18"/>
        <v>1</v>
      </c>
      <c r="J238" s="31">
        <f t="shared" si="18"/>
        <v>1</v>
      </c>
      <c r="K238" s="31">
        <f t="shared" si="18"/>
        <v>1.0000000000000002</v>
      </c>
      <c r="L238" s="31">
        <f t="shared" si="18"/>
        <v>1</v>
      </c>
      <c r="M238" s="31">
        <f t="shared" si="18"/>
        <v>0.9999999999999999</v>
      </c>
      <c r="N238" s="31">
        <f t="shared" si="18"/>
        <v>1</v>
      </c>
      <c r="O238" s="31">
        <f t="shared" si="18"/>
        <v>1</v>
      </c>
      <c r="P238" s="31">
        <f t="shared" si="18"/>
        <v>1.0000000000000002</v>
      </c>
      <c r="Q238" s="31">
        <f t="shared" si="18"/>
        <v>1</v>
      </c>
      <c r="R238" s="31">
        <f t="shared" si="18"/>
        <v>1</v>
      </c>
      <c r="S238" s="31">
        <f t="shared" si="18"/>
        <v>1</v>
      </c>
      <c r="T238" s="31">
        <f t="shared" si="18"/>
        <v>0.9999999999999999</v>
      </c>
      <c r="U238" s="31">
        <f t="shared" si="18"/>
        <v>1</v>
      </c>
      <c r="V238" s="31">
        <f t="shared" si="18"/>
        <v>1</v>
      </c>
    </row>
    <row r="239" spans="1:22" ht="25.5">
      <c r="A239" s="27" t="s">
        <v>201</v>
      </c>
      <c r="B239" s="58" t="s">
        <v>242</v>
      </c>
      <c r="C239" s="58" t="s">
        <v>242</v>
      </c>
      <c r="D239" s="58" t="s">
        <v>242</v>
      </c>
      <c r="E239" s="58" t="s">
        <v>242</v>
      </c>
      <c r="F239" s="58" t="s">
        <v>242</v>
      </c>
      <c r="G239" s="58" t="s">
        <v>242</v>
      </c>
      <c r="H239" s="58" t="s">
        <v>242</v>
      </c>
      <c r="I239" s="58" t="s">
        <v>242</v>
      </c>
      <c r="J239" s="58" t="s">
        <v>242</v>
      </c>
      <c r="K239" s="58" t="s">
        <v>242</v>
      </c>
      <c r="L239" s="38">
        <v>0.18</v>
      </c>
      <c r="M239" s="38">
        <v>0.18</v>
      </c>
      <c r="N239" s="65">
        <v>0.18</v>
      </c>
      <c r="O239" s="65">
        <v>0.18</v>
      </c>
      <c r="P239" s="38">
        <v>0.18</v>
      </c>
      <c r="Q239" s="38">
        <v>0.18</v>
      </c>
      <c r="R239" s="43">
        <v>0.17</v>
      </c>
      <c r="S239" s="43">
        <v>0.17</v>
      </c>
      <c r="T239" s="43">
        <v>0.18</v>
      </c>
      <c r="U239" s="43">
        <v>0.18</v>
      </c>
      <c r="V239" s="43">
        <v>0.19</v>
      </c>
    </row>
    <row r="240" spans="1:22" ht="12.75">
      <c r="A240" s="25"/>
      <c r="B240" s="14"/>
      <c r="D240" s="50"/>
      <c r="N240" s="1"/>
      <c r="O240" s="1"/>
      <c r="R240" s="10"/>
      <c r="S240" s="10"/>
      <c r="T240" s="10"/>
      <c r="U240" s="10"/>
      <c r="V240" s="10"/>
    </row>
    <row r="241" spans="1:22" ht="12.75">
      <c r="A241" s="27"/>
      <c r="D241" s="1"/>
      <c r="N241" s="1"/>
      <c r="O241" s="1"/>
      <c r="R241" s="10"/>
      <c r="S241" s="10"/>
      <c r="T241" s="10"/>
      <c r="U241" s="10"/>
      <c r="V241" s="10"/>
    </row>
    <row r="242" spans="1:4" ht="12.75">
      <c r="A242" s="19" t="s">
        <v>94</v>
      </c>
      <c r="D242" s="1"/>
    </row>
    <row r="243" spans="18:22" ht="12.75">
      <c r="R243" s="10"/>
      <c r="S243" s="10"/>
      <c r="T243" s="10"/>
      <c r="U243" s="10"/>
      <c r="V243" s="10"/>
    </row>
    <row r="244" spans="1:22" ht="12.75">
      <c r="A244" s="18" t="s">
        <v>96</v>
      </c>
      <c r="R244" s="10"/>
      <c r="S244" s="10"/>
      <c r="T244" s="10"/>
      <c r="U244" s="10"/>
      <c r="V244" s="10"/>
    </row>
    <row r="245" spans="1:22" ht="12.75">
      <c r="A245" s="18"/>
      <c r="R245" s="10"/>
      <c r="S245" s="10"/>
      <c r="T245" s="10"/>
      <c r="U245" s="10"/>
      <c r="V245" s="10"/>
    </row>
    <row r="246" spans="1:22" ht="12.75">
      <c r="A246" s="18" t="s">
        <v>86</v>
      </c>
      <c r="B246" s="37">
        <v>24100</v>
      </c>
      <c r="C246" s="37">
        <v>27200</v>
      </c>
      <c r="D246" s="37">
        <v>29500</v>
      </c>
      <c r="E246" s="37">
        <v>32300</v>
      </c>
      <c r="F246" s="37">
        <v>36900</v>
      </c>
      <c r="G246" s="37">
        <v>41500</v>
      </c>
      <c r="H246" s="37">
        <v>47100</v>
      </c>
      <c r="I246" s="37">
        <v>51300</v>
      </c>
      <c r="J246" s="37">
        <v>55300</v>
      </c>
      <c r="K246" s="37">
        <v>59700</v>
      </c>
      <c r="L246" s="37">
        <v>62135</v>
      </c>
      <c r="M246" s="37">
        <v>67946</v>
      </c>
      <c r="N246" s="37">
        <v>75359</v>
      </c>
      <c r="O246" s="37">
        <v>80015</v>
      </c>
      <c r="P246" s="37">
        <v>86529</v>
      </c>
      <c r="Q246" s="37">
        <v>92507</v>
      </c>
      <c r="R246" s="39">
        <v>98815</v>
      </c>
      <c r="S246" s="39">
        <v>108300</v>
      </c>
      <c r="T246" s="39">
        <v>123887</v>
      </c>
      <c r="U246" s="39">
        <v>140201</v>
      </c>
      <c r="V246" s="39">
        <v>165344</v>
      </c>
    </row>
    <row r="247" spans="1:22" ht="12.75">
      <c r="A247" s="18"/>
      <c r="R247" s="10"/>
      <c r="S247" s="10"/>
      <c r="T247" s="10"/>
      <c r="U247" s="10"/>
      <c r="V247" s="10"/>
    </row>
    <row r="248" spans="1:22" ht="12.75">
      <c r="A248" s="18" t="s">
        <v>205</v>
      </c>
      <c r="G248" s="31">
        <f>'Working counts'!G245/'Working counts'!G$257</f>
        <v>0.0323047733173557</v>
      </c>
      <c r="H248" s="31">
        <f>'Working counts'!H245/'Working counts'!H$257</f>
        <v>0.02593443812749486</v>
      </c>
      <c r="I248" s="31">
        <f>'Working counts'!I245/'Working counts'!I$257</f>
        <v>0.020265115391951173</v>
      </c>
      <c r="J248" s="31">
        <f>'Working counts'!J245/'Working counts'!J$257</f>
        <v>0.0172318211216853</v>
      </c>
      <c r="K248" s="31">
        <f>'Working counts'!K245/'Working counts'!K$257</f>
        <v>0.014539023381873305</v>
      </c>
      <c r="L248" s="31">
        <f>'Working counts'!L245/'Working counts'!L$257</f>
        <v>0.048624098316858134</v>
      </c>
      <c r="M248" s="31">
        <f>'Working counts'!M245/'Working counts'!M$257</f>
        <v>0.042173853242555535</v>
      </c>
      <c r="N248" s="31">
        <f>'Working counts'!N245/'Working counts'!N$257</f>
        <v>0.03907201869314863</v>
      </c>
      <c r="O248" s="31">
        <f>'Working counts'!O245/'Working counts'!O$257</f>
        <v>0.03724267103700855</v>
      </c>
      <c r="P248" s="31">
        <f>'Working counts'!P245/'Working counts'!P$257</f>
        <v>0.03030204081632653</v>
      </c>
      <c r="Q248" s="31">
        <f>'Working counts'!Q245/'Working counts'!Q$257</f>
        <v>0.027712644582579275</v>
      </c>
      <c r="R248" s="31">
        <f>'Working counts'!R245/'Working counts'!R$257</f>
        <v>0.0317772993113137</v>
      </c>
      <c r="S248" s="31">
        <f>'Working counts'!S245/'Working counts'!S$257</f>
        <v>0.029973108510792934</v>
      </c>
      <c r="T248" s="31">
        <f>'Working counts'!T245/'Working counts'!T$257</f>
        <v>0.02232062547567979</v>
      </c>
      <c r="U248" s="31">
        <f>'Working counts'!U245/'Working counts'!U$257</f>
        <v>0.026025083750934413</v>
      </c>
      <c r="V248" s="31">
        <f>'Working counts'!V245/'Working counts'!V$257</f>
        <v>0.023514967103068156</v>
      </c>
    </row>
    <row r="249" spans="1:22" ht="12.75">
      <c r="A249" s="18" t="s">
        <v>206</v>
      </c>
      <c r="G249" s="31">
        <f>'Working counts'!G246/'Working counts'!G$257</f>
        <v>0.09851208308368284</v>
      </c>
      <c r="H249" s="31">
        <f>'Working counts'!H246/'Working counts'!H$257</f>
        <v>0.07165840087093263</v>
      </c>
      <c r="I249" s="31">
        <f>'Working counts'!I246/'Working counts'!I$257</f>
        <v>0.060723822239176044</v>
      </c>
      <c r="J249" s="31">
        <f>'Working counts'!J246/'Working counts'!J$257</f>
        <v>0.05007853645015245</v>
      </c>
      <c r="K249" s="31">
        <f>'Working counts'!K246/'Working counts'!K$257</f>
        <v>0.04079195185814691</v>
      </c>
      <c r="L249" s="31">
        <f>'Working counts'!L246/'Working counts'!L$257</f>
        <v>0.058847626680915484</v>
      </c>
      <c r="M249" s="31">
        <f>'Working counts'!M246/'Working counts'!M$257</f>
        <v>0.04999656144694312</v>
      </c>
      <c r="N249" s="31">
        <f>'Working counts'!N246/'Working counts'!N$257</f>
        <v>0.04386213802887424</v>
      </c>
      <c r="O249" s="31">
        <f>'Working counts'!O246/'Working counts'!O$257</f>
        <v>0.04500225763834306</v>
      </c>
      <c r="P249" s="31">
        <f>'Working counts'!P246/'Working counts'!P$257</f>
        <v>0.03903673469387755</v>
      </c>
      <c r="Q249" s="31">
        <f>'Working counts'!Q246/'Working counts'!Q$257</f>
        <v>0.034290660162089856</v>
      </c>
      <c r="R249" s="31">
        <f>'Working counts'!R246/'Working counts'!R$257</f>
        <v>0.026157863392734435</v>
      </c>
      <c r="S249" s="31">
        <f>'Working counts'!S246/'Working counts'!S$257</f>
        <v>0.027603750272548876</v>
      </c>
      <c r="T249" s="31">
        <f>'Working counts'!T246/'Working counts'!T$257</f>
        <v>0.020784612191240573</v>
      </c>
      <c r="U249" s="31">
        <f>'Working counts'!U246/'Working counts'!U$257</f>
        <v>0.01881281320080844</v>
      </c>
      <c r="V249" s="31">
        <f>'Working counts'!V246/'Working counts'!V$257</f>
        <v>0.01642844750503797</v>
      </c>
    </row>
    <row r="250" spans="1:22" ht="12.75">
      <c r="A250" s="18" t="s">
        <v>207</v>
      </c>
      <c r="B250" s="1"/>
      <c r="C250" s="1"/>
      <c r="G250" s="31">
        <f>'Working counts'!G247/'Working counts'!G$257</f>
        <v>0.15078889554623526</v>
      </c>
      <c r="H250" s="31">
        <f>'Working counts'!H247/'Working counts'!H$257</f>
        <v>0.1236724325632031</v>
      </c>
      <c r="I250" s="31">
        <f>'Working counts'!I247/'Working counts'!I$257</f>
        <v>0.10461567804691971</v>
      </c>
      <c r="J250" s="31">
        <f>'Working counts'!J247/'Working counts'!J$257</f>
        <v>0.0885151991130001</v>
      </c>
      <c r="K250" s="31">
        <f>'Working counts'!K247/'Working counts'!K$257</f>
        <v>0.07834535348431255</v>
      </c>
      <c r="L250" s="31">
        <f>'Working counts'!L247/'Working counts'!L$257</f>
        <v>0.06602546976578502</v>
      </c>
      <c r="M250" s="31">
        <f>'Working counts'!M247/'Working counts'!M$257</f>
        <v>0.05800839006945877</v>
      </c>
      <c r="N250" s="31">
        <f>'Working counts'!N247/'Working counts'!N$257</f>
        <v>0.052390887090044226</v>
      </c>
      <c r="O250" s="31">
        <f>'Working counts'!O247/'Working counts'!O$257</f>
        <v>0.04846396976436945</v>
      </c>
      <c r="P250" s="31">
        <f>'Working counts'!P247/'Working counts'!P$257</f>
        <v>0.04383673469387755</v>
      </c>
      <c r="Q250" s="31">
        <f>'Working counts'!Q247/'Working counts'!Q$257</f>
        <v>0.0377055629868597</v>
      </c>
      <c r="R250" s="31">
        <f>'Working counts'!R247/'Working counts'!R$257</f>
        <v>0.031258112297097136</v>
      </c>
      <c r="S250" s="31">
        <f>'Working counts'!S247/'Working counts'!S$257</f>
        <v>0.026135620321244276</v>
      </c>
      <c r="T250" s="31">
        <f>'Working counts'!T247/'Working counts'!T$257</f>
        <v>0.023815124887566597</v>
      </c>
      <c r="U250" s="31">
        <f>'Working counts'!U247/'Working counts'!U$257</f>
        <v>0.02041861624075971</v>
      </c>
      <c r="V250" s="31">
        <f>'Working counts'!V247/'Working counts'!V$257</f>
        <v>0.016895543900388357</v>
      </c>
    </row>
    <row r="251" spans="1:22" ht="12.75">
      <c r="A251" s="18" t="s">
        <v>208</v>
      </c>
      <c r="B251" s="1"/>
      <c r="C251" s="1"/>
      <c r="G251" s="31">
        <f>'Working counts'!G248/'Working counts'!G$257</f>
        <v>0.19442780107849011</v>
      </c>
      <c r="H251" s="31">
        <f>'Working counts'!H248/'Working counts'!H$257</f>
        <v>0.16584008709326237</v>
      </c>
      <c r="I251" s="31">
        <f>'Working counts'!I248/'Working counts'!I$257</f>
        <v>0.14676711806217815</v>
      </c>
      <c r="J251" s="31">
        <f>'Working counts'!J248/'Working counts'!J$257</f>
        <v>0.13448212140811236</v>
      </c>
      <c r="K251" s="31">
        <f>'Working counts'!K248/'Working counts'!K$257</f>
        <v>0.11484220680784601</v>
      </c>
      <c r="L251" s="31">
        <f>'Working counts'!L248/'Working counts'!L$257</f>
        <v>0.0933832042034019</v>
      </c>
      <c r="M251" s="31">
        <f>'Working counts'!M248/'Working counts'!M$257</f>
        <v>0.08120143043807165</v>
      </c>
      <c r="N251" s="31">
        <f>'Working counts'!N248/'Working counts'!N$257</f>
        <v>0.06929817241091546</v>
      </c>
      <c r="O251" s="31">
        <f>'Working counts'!O248/'Working counts'!O$257</f>
        <v>0.06000301018445742</v>
      </c>
      <c r="P251" s="31">
        <f>'Working counts'!P248/'Working counts'!P$257</f>
        <v>0.05474285714285714</v>
      </c>
      <c r="Q251" s="31">
        <f>'Working counts'!Q248/'Working counts'!Q$257</f>
        <v>0.04902037925879298</v>
      </c>
      <c r="R251" s="31">
        <f>'Working counts'!R248/'Working counts'!R$257</f>
        <v>0.03907645792294654</v>
      </c>
      <c r="S251" s="31">
        <f>'Working counts'!S248/'Working counts'!S$257</f>
        <v>0.031121447779635148</v>
      </c>
      <c r="T251" s="31">
        <f>'Working counts'!T248/'Working counts'!T$257</f>
        <v>0.025198920639313636</v>
      </c>
      <c r="U251" s="31">
        <f>'Working counts'!U248/'Working counts'!U$257</f>
        <v>0.022522771948282068</v>
      </c>
      <c r="V251" s="31">
        <f>'Working counts'!V248/'Working counts'!V$257</f>
        <v>0.019070878541591597</v>
      </c>
    </row>
    <row r="252" spans="1:22" ht="12.75">
      <c r="A252" s="18" t="s">
        <v>209</v>
      </c>
      <c r="B252" s="1"/>
      <c r="C252" s="1"/>
      <c r="G252" s="31">
        <f>'Working counts'!G249/'Working counts'!G$257</f>
        <v>0.15767924905132813</v>
      </c>
      <c r="H252" s="31">
        <f>'Working counts'!H249/'Working counts'!H$257</f>
        <v>0.15884843353090602</v>
      </c>
      <c r="I252" s="31">
        <f>'Working counts'!I249/'Working counts'!I$257</f>
        <v>0.1522744611863437</v>
      </c>
      <c r="J252" s="31">
        <f>'Working counts'!J249/'Working counts'!J$257</f>
        <v>0.14584680772429087</v>
      </c>
      <c r="K252" s="31">
        <f>'Working counts'!K249/'Working counts'!K$257</f>
        <v>0.13746612154899168</v>
      </c>
      <c r="L252" s="31">
        <f>'Working counts'!L249/'Working counts'!L$257</f>
        <v>0.11299314275536557</v>
      </c>
      <c r="M252" s="31">
        <f>'Working counts'!M249/'Working counts'!M$257</f>
        <v>0.09939137610893337</v>
      </c>
      <c r="N252" s="31">
        <f>'Working counts'!N249/'Working counts'!N$257</f>
        <v>0.08799132103813737</v>
      </c>
      <c r="O252" s="31">
        <f>'Working counts'!O249/'Working counts'!O$257</f>
        <v>0.07649213171229326</v>
      </c>
      <c r="P252" s="31">
        <f>'Working counts'!P249/'Working counts'!P$257</f>
        <v>0.06772244897959184</v>
      </c>
      <c r="Q252" s="31">
        <f>'Working counts'!Q249/'Working counts'!Q$257</f>
        <v>0.0552207097332599</v>
      </c>
      <c r="R252" s="31">
        <f>'Working counts'!R249/'Working counts'!R$257</f>
        <v>0.046482507978682794</v>
      </c>
      <c r="S252" s="31">
        <f>'Working counts'!S249/'Working counts'!S$257</f>
        <v>0.040191874409477434</v>
      </c>
      <c r="T252" s="31">
        <f>'Working counts'!T249/'Working counts'!T$257</f>
        <v>0.03258838995364284</v>
      </c>
      <c r="U252" s="31">
        <f>'Working counts'!U249/'Working counts'!U$257</f>
        <v>0.026800299011600543</v>
      </c>
      <c r="V252" s="31">
        <f>'Working counts'!V249/'Working counts'!V$257</f>
        <v>0.022967797039943415</v>
      </c>
    </row>
    <row r="253" spans="1:22" ht="12.75">
      <c r="A253" s="18" t="s">
        <v>210</v>
      </c>
      <c r="G253" s="31">
        <f>'Working counts'!G250/'Working counts'!G$257</f>
        <v>0.11301677651288196</v>
      </c>
      <c r="H253" s="31">
        <f>'Working counts'!H250/'Working counts'!H$257</f>
        <v>0.11943873230918108</v>
      </c>
      <c r="I253" s="31">
        <f>'Working counts'!I250/'Working counts'!I$257</f>
        <v>0.11903967194354377</v>
      </c>
      <c r="J253" s="31">
        <f>'Working counts'!J250/'Working counts'!J$257</f>
        <v>0.12156980504481198</v>
      </c>
      <c r="K253" s="31">
        <f>'Working counts'!K250/'Working counts'!K$257</f>
        <v>0.11796591483301944</v>
      </c>
      <c r="L253" s="31">
        <f>'Working counts'!L250/'Working counts'!L$257</f>
        <v>0.09838810223528364</v>
      </c>
      <c r="M253" s="31">
        <f>'Working counts'!M250/'Working counts'!M$257</f>
        <v>0.09081218623203356</v>
      </c>
      <c r="N253" s="31">
        <f>'Working counts'!N250/'Working counts'!N$257</f>
        <v>0.07966285571225903</v>
      </c>
      <c r="O253" s="31">
        <f>'Working counts'!O250/'Working counts'!O$257</f>
        <v>0.07453551181497399</v>
      </c>
      <c r="P253" s="31">
        <f>'Working counts'!P250/'Working counts'!P$257</f>
        <v>0.06695510204081632</v>
      </c>
      <c r="Q253" s="31">
        <f>'Working counts'!Q250/'Working counts'!Q$257</f>
        <v>0.061893146589031396</v>
      </c>
      <c r="R253" s="31">
        <f>'Working counts'!R250/'Working counts'!R$257</f>
        <v>0.054926932062852166</v>
      </c>
      <c r="S253" s="31">
        <f>'Working counts'!S250/'Working counts'!S$257</f>
        <v>0.04721273348353805</v>
      </c>
      <c r="T253" s="31">
        <f>'Working counts'!T250/'Working counts'!T$257</f>
        <v>0.03993634539541963</v>
      </c>
      <c r="U253" s="31">
        <f>'Working counts'!U250/'Working counts'!U$257</f>
        <v>0.03441402032171433</v>
      </c>
      <c r="V253" s="31">
        <f>'Working counts'!V250/'Working counts'!V$257</f>
        <v>0.02607732447184743</v>
      </c>
    </row>
    <row r="254" spans="1:22" ht="12.75">
      <c r="A254" s="19" t="s">
        <v>331</v>
      </c>
      <c r="G254" s="31">
        <f>'Working counts'!G251/'Working counts'!G$257</f>
        <v>0.1951018573996405</v>
      </c>
      <c r="H254" s="31">
        <f>'Working counts'!H251/'Working counts'!H$257</f>
        <v>0.2478045240111286</v>
      </c>
      <c r="I254" s="31">
        <f>'Working counts'!I251/'Working counts'!I$257</f>
        <v>0.28259107381270265</v>
      </c>
      <c r="J254" s="31">
        <f>'Working counts'!J251/'Working counts'!J$257</f>
        <v>0.30241153099879886</v>
      </c>
      <c r="K254" s="31">
        <f>'Working counts'!K251/'Working counts'!K$257</f>
        <v>0.32909182782856355</v>
      </c>
      <c r="L254" s="31">
        <f>'Working counts'!L251/'Working counts'!L$257</f>
        <v>0.3048535043191736</v>
      </c>
      <c r="M254" s="31">
        <f>'Working counts'!M251/'Working counts'!M$257</f>
        <v>0.2926208651399491</v>
      </c>
      <c r="N254" s="31">
        <f>'Working counts'!N251/'Working counts'!N$257</f>
        <v>0.2817324543102729</v>
      </c>
      <c r="O254" s="31">
        <f>'Working counts'!O251/'Working counts'!O$257</f>
        <v>0.28310784821981033</v>
      </c>
      <c r="P254" s="31">
        <f>'Working counts'!P251/'Working counts'!P$257</f>
        <v>0.2857469387755102</v>
      </c>
      <c r="Q254" s="31">
        <f>'Working counts'!Q251/'Working counts'!Q$257</f>
        <v>0.28636399401998586</v>
      </c>
      <c r="R254" s="31">
        <f>'Working counts'!R251/'Working counts'!R$257</f>
        <v>0.27857437353978654</v>
      </c>
      <c r="S254" s="31">
        <f>'Working counts'!S251/'Working counts'!S$257</f>
        <v>0.2579547932262519</v>
      </c>
      <c r="T254" s="31">
        <f>'Working counts'!T251/'Working counts'!T$257</f>
        <v>0.22894900712654812</v>
      </c>
      <c r="U254" s="31">
        <f>'Working counts'!U251/'Working counts'!U$257</f>
        <v>0.19196267892245078</v>
      </c>
      <c r="V254" s="31">
        <f>'Working counts'!V251/'Working counts'!V$257</f>
        <v>0.1682881584390973</v>
      </c>
    </row>
    <row r="255" spans="1:22" ht="12.75">
      <c r="A255" s="19" t="s">
        <v>325</v>
      </c>
      <c r="G255" s="31">
        <f>'Working counts'!G252/'Working counts'!G$257</f>
        <v>0.04044337926902337</v>
      </c>
      <c r="H255" s="31">
        <f>'Working counts'!H252/'Working counts'!H$257</f>
        <v>0.05992500302407161</v>
      </c>
      <c r="I255" s="31">
        <f>'Working counts'!I252/'Working counts'!I$257</f>
        <v>0.072167652107572</v>
      </c>
      <c r="J255" s="31">
        <f>'Working counts'!J252/'Working counts'!J$257</f>
        <v>0.08736025131664049</v>
      </c>
      <c r="K255" s="31">
        <f>'Working counts'!K252/'Working counts'!K$257</f>
        <v>0.10335798612706142</v>
      </c>
      <c r="L255" s="31">
        <f>'Working counts'!L252/'Working counts'!L$257</f>
        <v>0.1218274111675127</v>
      </c>
      <c r="M255" s="31">
        <f>'Working counts'!M252/'Working counts'!M$257</f>
        <v>0.13305481053572657</v>
      </c>
      <c r="N255" s="31">
        <f>'Working counts'!N252/'Working counts'!N$257</f>
        <v>0.13904698322623718</v>
      </c>
      <c r="O255" s="31">
        <f>'Working counts'!O252/'Working counts'!O$257</f>
        <v>0.15522517852066156</v>
      </c>
      <c r="P255" s="31">
        <f>'Working counts'!P252/'Working counts'!P$257</f>
        <v>0.18111020408163264</v>
      </c>
      <c r="Q255" s="31">
        <f>'Working counts'!Q252/'Working counts'!Q$257</f>
        <v>0.2002517900700291</v>
      </c>
      <c r="R255" s="31">
        <f>'Working counts'!R252/'Working counts'!R$257</f>
        <v>0.22468581550536748</v>
      </c>
      <c r="S255" s="31">
        <f>'Working counts'!S252/'Working counts'!S$257</f>
        <v>0.22119340068318918</v>
      </c>
      <c r="T255" s="31">
        <f>'Working counts'!T252/'Working counts'!T$257</f>
        <v>0.21607970663530063</v>
      </c>
      <c r="U255" s="31">
        <f>'Working counts'!U252/'Working counts'!U$257</f>
        <v>0.19748608765469697</v>
      </c>
      <c r="V255" s="31">
        <f>'Working counts'!V252/'Working counts'!V$257</f>
        <v>0.16682014119656752</v>
      </c>
    </row>
    <row r="256" spans="1:22" ht="12.75">
      <c r="A256" s="18" t="s">
        <v>95</v>
      </c>
      <c r="G256" s="31">
        <f>'Working counts'!G253/'Working counts'!G$257</f>
        <v>0.010934691431995207</v>
      </c>
      <c r="H256" s="31">
        <f>'Working counts'!H253/'Working counts'!H$257</f>
        <v>0.015942905528002902</v>
      </c>
      <c r="I256" s="31">
        <f>'Working counts'!I253/'Working counts'!I$257</f>
        <v>0.024175090596986457</v>
      </c>
      <c r="J256" s="31">
        <f>'Working counts'!J253/'Working counts'!J$257</f>
        <v>0.029220179247897996</v>
      </c>
      <c r="K256" s="31">
        <f>'Working counts'!K253/'Working counts'!K$257</f>
        <v>0.03463640957324636</v>
      </c>
      <c r="L256" s="31">
        <f>'Working counts'!L253/'Working counts'!L$257</f>
        <v>0.0477869801407071</v>
      </c>
      <c r="M256" s="31">
        <f>'Working counts'!M253/'Working counts'!M$257</f>
        <v>0.07147032528711918</v>
      </c>
      <c r="N256" s="31">
        <f>'Working counts'!N253/'Working counts'!N$257</f>
        <v>0.08477009096219644</v>
      </c>
      <c r="O256" s="31">
        <f>'Working counts'!O253/'Working counts'!O$257</f>
        <v>0.093215378697928</v>
      </c>
      <c r="P256" s="31">
        <f>'Working counts'!P253/'Working counts'!P$257</f>
        <v>0.10259591836734694</v>
      </c>
      <c r="Q256" s="31">
        <f>'Working counts'!Q253/'Working counts'!Q$257</f>
        <v>0.11256589818239043</v>
      </c>
      <c r="R256" s="31">
        <f>'Working counts'!R253/'Working counts'!R$257</f>
        <v>0.12287935010001985</v>
      </c>
      <c r="S256" s="31">
        <f>'Working counts'!S253/'Working counts'!S$257</f>
        <v>0.1326985972817792</v>
      </c>
      <c r="T256" s="31">
        <f>'Working counts'!T253/'Working counts'!T$257</f>
        <v>0.14071818999515673</v>
      </c>
      <c r="U256" s="31">
        <f>'Working counts'!U253/'Working counts'!U$257</f>
        <v>0.13827902212132118</v>
      </c>
      <c r="V256" s="31">
        <f>'Working counts'!V253/'Working counts'!V$257</f>
        <v>0.1301330557446184</v>
      </c>
    </row>
    <row r="257" spans="1:22" ht="12.75">
      <c r="A257" s="18" t="s">
        <v>216</v>
      </c>
      <c r="G257" s="31">
        <f>'Working counts'!G254/'Working counts'!G$257</f>
        <v>0.004044337926902336</v>
      </c>
      <c r="H257" s="31">
        <f>'Working counts'!H254/'Working counts'!H$257</f>
        <v>0.005080440304826418</v>
      </c>
      <c r="I257" s="31">
        <f>'Working counts'!I254/'Working counts'!I$257</f>
        <v>0.008439824527942019</v>
      </c>
      <c r="J257" s="31">
        <f>'Working counts'!J254/'Working counts'!J$257</f>
        <v>0.011549477963596046</v>
      </c>
      <c r="K257" s="31">
        <f>'Working counts'!K254/'Working counts'!K$257</f>
        <v>0.014630897147319582</v>
      </c>
      <c r="L257" s="31">
        <f>'Working counts'!L254/'Working counts'!L$257</f>
        <v>0.022228159230563718</v>
      </c>
      <c r="M257" s="31">
        <f>'Working counts'!M254/'Working counts'!M$257</f>
        <v>0.03500447011897394</v>
      </c>
      <c r="N257" s="31">
        <f>'Working counts'!N254/'Working counts'!N$257</f>
        <v>0.047300342151381125</v>
      </c>
      <c r="O257" s="31">
        <f>'Working counts'!O254/'Working counts'!O$257</f>
        <v>0.047878656119872236</v>
      </c>
      <c r="P257" s="31">
        <f>'Working counts'!P254/'Working counts'!P$257</f>
        <v>0.048963265306122446</v>
      </c>
      <c r="Q257" s="31">
        <f>'Working counts'!Q254/'Working counts'!Q$257</f>
        <v>0.0520890707372728</v>
      </c>
      <c r="R257" s="31">
        <f>'Working counts'!R254/'Working counts'!R$257</f>
        <v>0.057583947959136926</v>
      </c>
      <c r="S257" s="31">
        <f>'Working counts'!S254/'Working counts'!S$257</f>
        <v>0.06747583399956392</v>
      </c>
      <c r="T257" s="31">
        <f>'Working counts'!T254/'Working counts'!T$257</f>
        <v>0.07947139002283263</v>
      </c>
      <c r="U257" s="31">
        <f>'Working counts'!U254/'Working counts'!U$257</f>
        <v>0.08801461834491542</v>
      </c>
      <c r="V257" s="31">
        <f>'Working counts'!V254/'Working counts'!V$257</f>
        <v>0.08885508000693972</v>
      </c>
    </row>
    <row r="258" spans="1:22" ht="12.75">
      <c r="A258" s="18" t="s">
        <v>217</v>
      </c>
      <c r="G258" s="31">
        <f>'Working counts'!G255/'Working counts'!G$257</f>
        <v>0.0012732174955062913</v>
      </c>
      <c r="H258" s="31">
        <f>'Working counts'!H255/'Working counts'!H$257</f>
        <v>0.002806338454094593</v>
      </c>
      <c r="I258" s="31">
        <f>'Working counts'!I255/'Working counts'!I$257</f>
        <v>0.0037669273316803357</v>
      </c>
      <c r="J258" s="31">
        <f>'Working counts'!J255/'Working counts'!J$257</f>
        <v>0.005220364039545413</v>
      </c>
      <c r="K258" s="31">
        <f>'Working counts'!K255/'Working counts'!K$257</f>
        <v>0.006155542284900547</v>
      </c>
      <c r="L258" s="31">
        <f>'Working counts'!L255/'Working counts'!L$257</f>
        <v>0.010205717339032862</v>
      </c>
      <c r="M258" s="31">
        <f>'Working counts'!M255/'Working counts'!M$257</f>
        <v>0.01769135547761502</v>
      </c>
      <c r="N258" s="31">
        <f>'Working counts'!N255/'Working counts'!N$257</f>
        <v>0.025619627806058583</v>
      </c>
      <c r="O258" s="31">
        <f>'Working counts'!O255/'Working counts'!O$257</f>
        <v>0.02742612505644096</v>
      </c>
      <c r="P258" s="31">
        <f>'Working counts'!P255/'Working counts'!P$257</f>
        <v>0.028310204081632654</v>
      </c>
      <c r="Q258" s="31">
        <f>'Working counts'!Q255/'Working counts'!Q$257</f>
        <v>0.028452277913289796</v>
      </c>
      <c r="R258" s="31">
        <f>'Working counts'!R255/'Working counts'!R$257</f>
        <v>0.03099851878998885</v>
      </c>
      <c r="S258" s="31">
        <f>'Working counts'!S255/'Working counts'!S$257</f>
        <v>0.03995929936768661</v>
      </c>
      <c r="T258" s="31">
        <f>'Working counts'!T255/'Working counts'!T$257</f>
        <v>0.05187850273299661</v>
      </c>
      <c r="U258" s="31">
        <f>'Working counts'!U255/'Working counts'!U$257</f>
        <v>0.06313851435532546</v>
      </c>
      <c r="V258" s="31">
        <f>'Working counts'!V255/'Working counts'!V$257</f>
        <v>0.06604743030254501</v>
      </c>
    </row>
    <row r="259" spans="1:22" ht="12.75">
      <c r="A259" s="18" t="s">
        <v>218</v>
      </c>
      <c r="G259" s="31">
        <f>'Working counts'!G256/'Working counts'!G$257</f>
        <v>0.0014729378869582585</v>
      </c>
      <c r="H259" s="31">
        <f>'Working counts'!H256/'Working counts'!H$257</f>
        <v>0.003048264182895851</v>
      </c>
      <c r="I259" s="31">
        <f>'Working counts'!I256/'Working counts'!I$257</f>
        <v>0.005173564753004005</v>
      </c>
      <c r="J259" s="31">
        <f>'Working counts'!J256/'Working counts'!J$257</f>
        <v>0.00651390557146817</v>
      </c>
      <c r="K259" s="31">
        <f>'Working counts'!K256/'Working counts'!K$257</f>
        <v>0.008176765124718637</v>
      </c>
      <c r="L259" s="31">
        <f>'Working counts'!L256/'Working counts'!L$257</f>
        <v>0.014836583845400302</v>
      </c>
      <c r="M259" s="31">
        <f>'Working counts'!M256/'Working counts'!M$257</f>
        <v>0.02857437590262018</v>
      </c>
      <c r="N259" s="31">
        <f>'Working counts'!N256/'Working counts'!N$257</f>
        <v>0.04925310857047484</v>
      </c>
      <c r="O259" s="31">
        <f>'Working counts'!O256/'Working counts'!O$257</f>
        <v>0.051407261233841164</v>
      </c>
      <c r="P259" s="31">
        <f>'Working counts'!P256/'Working counts'!P$257</f>
        <v>0.05067755102040816</v>
      </c>
      <c r="Q259" s="31">
        <f>'Working counts'!Q256/'Working counts'!Q$257</f>
        <v>0.054433865764418915</v>
      </c>
      <c r="R259" s="31">
        <f>'Working counts'!R256/'Working counts'!R$257</f>
        <v>0.055598821140073605</v>
      </c>
      <c r="S259" s="31">
        <f>'Working counts'!S256/'Working counts'!S$257</f>
        <v>0.07847954066429247</v>
      </c>
      <c r="T259" s="31">
        <f>'Working counts'!T256/'Working counts'!T$257</f>
        <v>0.11825918494430222</v>
      </c>
      <c r="U259" s="31">
        <f>'Working counts'!U256/'Working counts'!U$257</f>
        <v>0.17212547412719068</v>
      </c>
      <c r="V259" s="31">
        <f>'Working counts'!V256/'Working counts'!V$257</f>
        <v>0.25490117574835514</v>
      </c>
    </row>
    <row r="260" spans="7:22" ht="12.75">
      <c r="G260" s="31">
        <f>SUM(G248:G259)</f>
        <v>0.9999999999999999</v>
      </c>
      <c r="H260" s="31">
        <f aca="true" t="shared" si="19" ref="H260:V260">SUM(H248:H259)</f>
        <v>1.0000000000000002</v>
      </c>
      <c r="I260" s="31">
        <f t="shared" si="19"/>
        <v>1</v>
      </c>
      <c r="J260" s="31">
        <f t="shared" si="19"/>
        <v>1</v>
      </c>
      <c r="K260" s="31">
        <f t="shared" si="19"/>
        <v>0.9999999999999999</v>
      </c>
      <c r="L260" s="31">
        <f t="shared" si="19"/>
        <v>1</v>
      </c>
      <c r="M260" s="31">
        <f t="shared" si="19"/>
        <v>0.9999999999999999</v>
      </c>
      <c r="N260" s="31">
        <f t="shared" si="19"/>
        <v>0.9999999999999999</v>
      </c>
      <c r="O260" s="31">
        <f t="shared" si="19"/>
        <v>0.9999999999999999</v>
      </c>
      <c r="P260" s="31">
        <f t="shared" si="19"/>
        <v>1</v>
      </c>
      <c r="Q260" s="31">
        <f t="shared" si="19"/>
        <v>1</v>
      </c>
      <c r="R260" s="31">
        <f t="shared" si="19"/>
        <v>0.9999999999999999</v>
      </c>
      <c r="S260" s="31">
        <f t="shared" si="19"/>
        <v>1</v>
      </c>
      <c r="T260" s="31">
        <f t="shared" si="19"/>
        <v>1.0000000000000002</v>
      </c>
      <c r="U260" s="31">
        <f t="shared" si="19"/>
        <v>1</v>
      </c>
      <c r="V260" s="31">
        <f t="shared" si="19"/>
        <v>1</v>
      </c>
    </row>
    <row r="261" spans="18:22" ht="12.75">
      <c r="R261" s="10"/>
      <c r="S261" s="10"/>
      <c r="T261" s="10"/>
      <c r="U261" s="10"/>
      <c r="V261" s="10"/>
    </row>
    <row r="262" spans="1:22" ht="12.75">
      <c r="A262" s="18" t="s">
        <v>219</v>
      </c>
      <c r="R262" s="10"/>
      <c r="S262" s="10"/>
      <c r="T262" s="10"/>
      <c r="U262" s="10"/>
      <c r="V262" s="10"/>
    </row>
    <row r="263" spans="1:24" ht="12.75">
      <c r="A263" s="18" t="s">
        <v>220</v>
      </c>
      <c r="B263" s="31">
        <f>'Working counts'!B274/SUM('Working counts'!B$274:B$279)</f>
        <v>0.2809667673716012</v>
      </c>
      <c r="C263" s="31">
        <f>'Working counts'!C274/SUM('Working counts'!C$274:C$279)</f>
        <v>0.2869386736193937</v>
      </c>
      <c r="D263" s="31">
        <f>'Working counts'!D274/SUM('Working counts'!D$274:D$279)</f>
        <v>0.2731526298806066</v>
      </c>
      <c r="E263" s="31">
        <f>'Working counts'!E274/SUM('Working counts'!E$274:E$279)</f>
        <v>0.25602202339986235</v>
      </c>
      <c r="F263" s="31">
        <f>'Working counts'!F274/SUM('Working counts'!F$274:F$279)</f>
        <v>0.22696652502850037</v>
      </c>
      <c r="G263" s="31">
        <f>'Working counts'!G274/SUM('Working counts'!G$274:G$279)</f>
        <v>0.20131466706809173</v>
      </c>
      <c r="H263" s="31">
        <f>'Working counts'!H274/SUM('Working counts'!H$274:H$279)</f>
        <v>0.18484701311316173</v>
      </c>
      <c r="I263" s="31">
        <f>'Working counts'!I274/SUM('Working counts'!I$274:I$279)</f>
        <v>0.18505901544957298</v>
      </c>
      <c r="J263" s="31">
        <f>'Working counts'!J274/SUM('Working counts'!J$274:J$279)</f>
        <v>0.19133649553571427</v>
      </c>
      <c r="K263" s="31">
        <f>'Working counts'!K274/SUM('Working counts'!K$274:K$279)</f>
        <v>0.21455443487894385</v>
      </c>
      <c r="L263" s="31">
        <f>'Working counts'!L274/SUM('Working counts'!L$274:L$279)</f>
        <v>0.3006371260933732</v>
      </c>
      <c r="M263" s="31">
        <f>'Working counts'!M274/SUM('Working counts'!M$274:M$279)</f>
        <v>0.2970601976017857</v>
      </c>
      <c r="N263" s="31">
        <f>'Working counts'!N274/SUM('Working counts'!N$274:N$279)</f>
        <v>0.2923784494086728</v>
      </c>
      <c r="O263" s="31">
        <f>'Working counts'!O274/SUM('Working counts'!O$274:O$279)</f>
        <v>0.29596973075233945</v>
      </c>
      <c r="P263" s="31">
        <f>'Working counts'!P274/SUM('Working counts'!P$274:P$279)</f>
        <v>0.29219627794441777</v>
      </c>
      <c r="Q263" s="31">
        <f>'Working counts'!Q274/SUM('Working counts'!Q$274:Q$279)</f>
        <v>0.2941336927569719</v>
      </c>
      <c r="R263" s="31">
        <f>'Working counts'!R274/SUM('Working counts'!R$274:R$279)</f>
        <v>0.29214129201697</v>
      </c>
      <c r="S263" s="31">
        <f>'Working counts'!S274/SUM('Working counts'!S$274:S$279)</f>
        <v>0.289908881131294</v>
      </c>
      <c r="T263" s="31">
        <f>'Working counts'!T274/SUM('Working counts'!T$274:T$279)</f>
        <v>0.26161417601221876</v>
      </c>
      <c r="U263" s="31">
        <f>'Working counts'!U274/SUM('Working counts'!U$274:U$279)</f>
        <v>0.23483385261733233</v>
      </c>
      <c r="V263" s="31">
        <f>'Working counts'!V274/SUM('Working counts'!V$274:V$279)</f>
        <v>0.1941879926573804</v>
      </c>
      <c r="W263" t="s">
        <v>333</v>
      </c>
      <c r="X263" s="59">
        <f aca="true" t="shared" si="20" ref="X263:X268">V263-B263</f>
        <v>-0.0867787747142208</v>
      </c>
    </row>
    <row r="264" spans="1:24" ht="12.75">
      <c r="A264" s="18" t="s">
        <v>221</v>
      </c>
      <c r="B264" s="31">
        <f>'Working counts'!B275/SUM('Working counts'!B$274:B$279)</f>
        <v>0.1957128470723637</v>
      </c>
      <c r="C264" s="31">
        <f>'Working counts'!C275/SUM('Working counts'!C$274:C$279)</f>
        <v>0.1930491221257593</v>
      </c>
      <c r="D264" s="31">
        <f>'Working counts'!D275/SUM('Working counts'!D$274:D$279)</f>
        <v>0.19326126707540067</v>
      </c>
      <c r="E264" s="31">
        <f>'Working counts'!E275/SUM('Working counts'!E$274:E$279)</f>
        <v>0.18992535338027422</v>
      </c>
      <c r="F264" s="31">
        <f>'Working counts'!F275/SUM('Working counts'!F$274:F$279)</f>
        <v>0.18271323453207586</v>
      </c>
      <c r="G264" s="31">
        <f>'Working counts'!G275/SUM('Working counts'!G$274:G$279)</f>
        <v>0.1619750112900798</v>
      </c>
      <c r="H264" s="31">
        <f>'Working counts'!H275/SUM('Working counts'!H$274:H$279)</f>
        <v>0.15628946090335114</v>
      </c>
      <c r="I264" s="31">
        <f>'Working counts'!I275/SUM('Working counts'!I$274:I$279)</f>
        <v>0.16032530467325593</v>
      </c>
      <c r="J264" s="31">
        <f>'Working counts'!J275/SUM('Working counts'!J$274:J$279)</f>
        <v>0.17057291666666666</v>
      </c>
      <c r="K264" s="31">
        <f>'Working counts'!K275/SUM('Working counts'!K$274:K$279)</f>
        <v>0.17506404782237403</v>
      </c>
      <c r="L264" s="31">
        <f>'Working counts'!L275/SUM('Working counts'!L$274:L$279)</f>
        <v>0.14920269248767143</v>
      </c>
      <c r="M264" s="31">
        <f>'Working counts'!M275/SUM('Working counts'!M$274:M$279)</f>
        <v>0.13399546657899747</v>
      </c>
      <c r="N264" s="31">
        <f>'Working counts'!N275/SUM('Working counts'!N$274:N$279)</f>
        <v>0.13189460561339666</v>
      </c>
      <c r="O264" s="31">
        <f>'Working counts'!O275/SUM('Working counts'!O$274:O$279)</f>
        <v>0.13154960981047936</v>
      </c>
      <c r="P264" s="31">
        <f>'Working counts'!P275/SUM('Working counts'!P$274:P$279)</f>
        <v>0.13511094907445767</v>
      </c>
      <c r="Q264" s="31">
        <f>'Working counts'!Q275/SUM('Working counts'!Q$274:Q$279)</f>
        <v>0.13441481338853054</v>
      </c>
      <c r="R264" s="31">
        <f>'Working counts'!R275/SUM('Working counts'!R$274:R$279)</f>
        <v>0.14806756903759188</v>
      </c>
      <c r="S264" s="31">
        <f>'Working counts'!S275/SUM('Working counts'!S$274:S$279)</f>
        <v>0.14543518135021596</v>
      </c>
      <c r="T264" s="31">
        <f>'Working counts'!T275/SUM('Working counts'!T$274:T$279)</f>
        <v>0.1392711176478907</v>
      </c>
      <c r="U264" s="31">
        <f>'Working counts'!U275/SUM('Working counts'!U$274:U$279)</f>
        <v>0.12121639339639932</v>
      </c>
      <c r="V264" s="31">
        <f>'Working counts'!V275/SUM('Working counts'!V$274:V$279)</f>
        <v>0.10202731886405356</v>
      </c>
      <c r="W264" t="s">
        <v>333</v>
      </c>
      <c r="X264" s="59">
        <f t="shared" si="20"/>
        <v>-0.09368552820831014</v>
      </c>
    </row>
    <row r="265" spans="1:24" ht="12.75">
      <c r="A265" s="18" t="s">
        <v>222</v>
      </c>
      <c r="B265" s="31">
        <f>'Working counts'!B276/SUM('Working counts'!B$274:B$279)</f>
        <v>0.1445835131635736</v>
      </c>
      <c r="C265" s="31">
        <f>'Working counts'!C276/SUM('Working counts'!C$274:C$279)</f>
        <v>0.14822622250575543</v>
      </c>
      <c r="D265" s="31">
        <f>'Working counts'!D276/SUM('Working counts'!D$274:D$279)</f>
        <v>0.14703667849844035</v>
      </c>
      <c r="E265" s="31">
        <f>'Working counts'!E276/SUM('Working counts'!E$274:E$279)</f>
        <v>0.15273439568002542</v>
      </c>
      <c r="F265" s="31">
        <f>'Working counts'!F276/SUM('Working counts'!F$274:F$279)</f>
        <v>0.15071510001036376</v>
      </c>
      <c r="G265" s="31">
        <f>'Working counts'!G276/SUM('Working counts'!G$274:G$279)</f>
        <v>0.15274223493401576</v>
      </c>
      <c r="H265" s="31">
        <f>'Working counts'!H276/SUM('Working counts'!H$274:H$279)</f>
        <v>0.1484458474987858</v>
      </c>
      <c r="I265" s="31">
        <f>'Working counts'!I276/SUM('Working counts'!I$274:I$279)</f>
        <v>0.14609922272334708</v>
      </c>
      <c r="J265" s="31">
        <f>'Working counts'!J276/SUM('Working counts'!J$274:J$279)</f>
        <v>0.14862351190476192</v>
      </c>
      <c r="K265" s="31">
        <f>'Working counts'!K276/SUM('Working counts'!K$274:K$279)</f>
        <v>0.14482885960255729</v>
      </c>
      <c r="L265" s="31">
        <f>'Working counts'!L276/SUM('Working counts'!L$274:L$279)</f>
        <v>0.1278211727439617</v>
      </c>
      <c r="M265" s="31">
        <f>'Working counts'!M276/SUM('Working counts'!M$274:M$279)</f>
        <v>0.12408077102763311</v>
      </c>
      <c r="N265" s="31">
        <f>'Working counts'!N276/SUM('Working counts'!N$274:N$279)</f>
        <v>0.11779372620371306</v>
      </c>
      <c r="O265" s="31">
        <f>'Working counts'!O276/SUM('Working counts'!O$274:O$279)</f>
        <v>0.1193878585182933</v>
      </c>
      <c r="P265" s="31">
        <f>'Working counts'!P276/SUM('Working counts'!P$274:P$279)</f>
        <v>0.11761099050428385</v>
      </c>
      <c r="Q265" s="31">
        <f>'Working counts'!Q276/SUM('Working counts'!Q$274:Q$279)</f>
        <v>0.12069574147171143</v>
      </c>
      <c r="R265" s="31">
        <f>'Working counts'!R276/SUM('Working counts'!R$274:R$279)</f>
        <v>0.1238713888327713</v>
      </c>
      <c r="S265" s="31">
        <f>'Working counts'!S276/SUM('Working counts'!S$274:S$279)</f>
        <v>0.11860244955919769</v>
      </c>
      <c r="T265" s="31">
        <f>'Working counts'!T276/SUM('Working counts'!T$274:T$279)</f>
        <v>0.11449420882182404</v>
      </c>
      <c r="U265" s="31">
        <f>'Working counts'!U276/SUM('Working counts'!U$274:U$279)</f>
        <v>0.1093175057450198</v>
      </c>
      <c r="V265" s="31">
        <f>'Working counts'!V276/SUM('Working counts'!V$274:V$279)</f>
        <v>0.10179786200194363</v>
      </c>
      <c r="W265" t="s">
        <v>333</v>
      </c>
      <c r="X265" s="59">
        <f t="shared" si="20"/>
        <v>-0.04278565116162997</v>
      </c>
    </row>
    <row r="266" spans="1:24" ht="12.75">
      <c r="A266" s="18" t="s">
        <v>223</v>
      </c>
      <c r="B266" s="31">
        <f>'Working counts'!B277/SUM('Working counts'!B$274:B$279)</f>
        <v>0.0987196086893972</v>
      </c>
      <c r="C266" s="31">
        <f>'Working counts'!C277/SUM('Working counts'!C$274:C$279)</f>
        <v>0.10201647574404349</v>
      </c>
      <c r="D266" s="31">
        <f>'Working counts'!D277/SUM('Working counts'!D$274:D$279)</f>
        <v>0.10145745939550392</v>
      </c>
      <c r="E266" s="31">
        <f>'Working counts'!E277/SUM('Working counts'!E$274:E$279)</f>
        <v>0.10556408491714754</v>
      </c>
      <c r="F266" s="31">
        <f>'Working counts'!F277/SUM('Working counts'!F$274:F$279)</f>
        <v>0.11086641102704943</v>
      </c>
      <c r="G266" s="31">
        <f>'Working counts'!G277/SUM('Working counts'!G$274:G$279)</f>
        <v>0.11643835616438356</v>
      </c>
      <c r="H266" s="31">
        <f>'Working counts'!H277/SUM('Working counts'!H$274:H$279)</f>
        <v>0.11605148130160271</v>
      </c>
      <c r="I266" s="31">
        <f>'Working counts'!I277/SUM('Working counts'!I$274:I$279)</f>
        <v>0.11505613664715478</v>
      </c>
      <c r="J266" s="31">
        <f>'Working counts'!J277/SUM('Working counts'!J$274:J$279)</f>
        <v>0.10623604910714286</v>
      </c>
      <c r="K266" s="31">
        <f>'Working counts'!K277/SUM('Working counts'!K$274:K$279)</f>
        <v>0.10349204883790708</v>
      </c>
      <c r="L266" s="31">
        <f>'Working counts'!L277/SUM('Working counts'!L$274:L$279)</f>
        <v>0.0892156509844858</v>
      </c>
      <c r="M266" s="31">
        <f>'Working counts'!M277/SUM('Working counts'!M$274:M$279)</f>
        <v>0.08966483830221653</v>
      </c>
      <c r="N266" s="31">
        <f>'Working counts'!N277/SUM('Working counts'!N$274:N$279)</f>
        <v>0.08733447892449206</v>
      </c>
      <c r="O266" s="31">
        <f>'Working counts'!O277/SUM('Working counts'!O$274:O$279)</f>
        <v>0.08715921759400021</v>
      </c>
      <c r="P266" s="31">
        <f>'Working counts'!P277/SUM('Working counts'!P$274:P$279)</f>
        <v>0.08740036126808412</v>
      </c>
      <c r="Q266" s="31">
        <f>'Working counts'!Q277/SUM('Working counts'!Q$274:Q$279)</f>
        <v>0.08918199030839832</v>
      </c>
      <c r="R266" s="31">
        <f>'Working counts'!R277/SUM('Working counts'!R$274:R$279)</f>
        <v>0.08567343703864862</v>
      </c>
      <c r="S266" s="31">
        <f>'Working counts'!S277/SUM('Working counts'!S$274:S$279)</f>
        <v>0.08881131294006271</v>
      </c>
      <c r="T266" s="31">
        <f>'Working counts'!T277/SUM('Working counts'!T$274:T$279)</f>
        <v>0.09195174725290266</v>
      </c>
      <c r="U266" s="31">
        <f>'Working counts'!U277/SUM('Working counts'!U$274:U$279)</f>
        <v>0.09579732416009926</v>
      </c>
      <c r="V266" s="31">
        <f>'Working counts'!V277/SUM('Working counts'!V$274:V$279)</f>
        <v>0.08275294244682</v>
      </c>
      <c r="W266" t="s">
        <v>333</v>
      </c>
      <c r="X266" s="59">
        <f t="shared" si="20"/>
        <v>-0.015966666242577213</v>
      </c>
    </row>
    <row r="267" spans="1:39" ht="12.75">
      <c r="A267" s="18" t="s">
        <v>224</v>
      </c>
      <c r="B267" s="31">
        <f>'Working counts'!B278/SUM('Working counts'!B$274:B$279)</f>
        <v>0.10976837865055387</v>
      </c>
      <c r="C267" s="31">
        <f>'Working counts'!C278/SUM('Working counts'!C$274:C$279)</f>
        <v>0.1063989127118409</v>
      </c>
      <c r="D267" s="31">
        <f>'Working counts'!D278/SUM('Working counts'!D$274:D$279)</f>
        <v>0.11245563084866086</v>
      </c>
      <c r="E267" s="31">
        <f>'Working counts'!E278/SUM('Working counts'!E$274:E$279)</f>
        <v>0.11694637090370057</v>
      </c>
      <c r="F267" s="31">
        <f>'Working counts'!F278/SUM('Working counts'!F$274:F$279)</f>
        <v>0.12610115037827754</v>
      </c>
      <c r="G267" s="31">
        <f>'Working counts'!G278/SUM('Working counts'!G$274:G$279)</f>
        <v>0.13748808269356214</v>
      </c>
      <c r="H267" s="31">
        <f>'Working counts'!H278/SUM('Working counts'!H$274:H$279)</f>
        <v>0.14035939776590578</v>
      </c>
      <c r="I267" s="31">
        <f>'Working counts'!I278/SUM('Working counts'!I$274:I$279)</f>
        <v>0.13844640629498128</v>
      </c>
      <c r="J267" s="31">
        <f>'Working counts'!J278/SUM('Working counts'!J$274:J$279)</f>
        <v>0.13564918154761904</v>
      </c>
      <c r="K267" s="31">
        <f>'Working counts'!K278/SUM('Working counts'!K$274:K$279)</f>
        <v>0.12405659288665266</v>
      </c>
      <c r="L267" s="31">
        <f>'Working counts'!L278/SUM('Working counts'!L$274:L$279)</f>
        <v>0.1077535005939311</v>
      </c>
      <c r="M267" s="31">
        <f>'Working counts'!M278/SUM('Working counts'!M$274:M$279)</f>
        <v>0.11122454276469469</v>
      </c>
      <c r="N267" s="31">
        <f>'Working counts'!N278/SUM('Working counts'!N$274:N$279)</f>
        <v>0.11235216819973719</v>
      </c>
      <c r="O267" s="31">
        <f>'Working counts'!O278/SUM('Working counts'!O$274:O$279)</f>
        <v>0.11323941758724368</v>
      </c>
      <c r="P267" s="31">
        <f>'Working counts'!P278/SUM('Working counts'!P$274:P$279)</f>
        <v>0.11447889564655386</v>
      </c>
      <c r="Q267" s="31">
        <f>'Working counts'!Q278/SUM('Working counts'!Q$274:Q$279)</f>
        <v>0.11617085459388338</v>
      </c>
      <c r="R267" s="31">
        <f>'Working counts'!R278/SUM('Working counts'!R$274:R$279)</f>
        <v>0.10536294270307231</v>
      </c>
      <c r="S267" s="31">
        <f>'Working counts'!S278/SUM('Working counts'!S$274:S$279)</f>
        <v>0.10810011241938347</v>
      </c>
      <c r="T267" s="31">
        <f>'Working counts'!T278/SUM('Working counts'!T$274:T$279)</f>
        <v>0.12111269816577336</v>
      </c>
      <c r="U267" s="31">
        <f>'Working counts'!U278/SUM('Working counts'!U$274:U$279)</f>
        <v>0.12584060565902075</v>
      </c>
      <c r="V267" s="31">
        <f>'Working counts'!V278/SUM('Working counts'!V$274:V$279)</f>
        <v>0.1331524673361408</v>
      </c>
      <c r="W267" t="s">
        <v>333</v>
      </c>
      <c r="X267" s="59">
        <f t="shared" si="20"/>
        <v>0.023384088685586932</v>
      </c>
      <c r="AM267" s="9"/>
    </row>
    <row r="268" spans="1:39" ht="12.75">
      <c r="A268" s="18" t="s">
        <v>249</v>
      </c>
      <c r="B268" s="31">
        <f>'Working counts'!B279/SUM('Working counts'!B$274:B$279)</f>
        <v>0.17024888505251043</v>
      </c>
      <c r="C268" s="31">
        <f>'Working counts'!C279/SUM('Working counts'!C$274:C$279)</f>
        <v>0.16337059329320722</v>
      </c>
      <c r="D268" s="31">
        <f>'Working counts'!D279/SUM('Working counts'!D$274:D$279)</f>
        <v>0.17263633430138756</v>
      </c>
      <c r="E268" s="31">
        <f>'Working counts'!E279/SUM('Working counts'!E$274:E$279)</f>
        <v>0.1788077717189899</v>
      </c>
      <c r="F268" s="31">
        <f>'Working counts'!F279/SUM('Working counts'!F$274:F$279)</f>
        <v>0.20263757902373303</v>
      </c>
      <c r="G268" s="31">
        <f>'Working counts'!G279/SUM('Working counts'!G$274:G$279)</f>
        <v>0.23004164784986703</v>
      </c>
      <c r="H268" s="31">
        <f>'Working counts'!H279/SUM('Working counts'!H$274:H$279)</f>
        <v>0.2540067994171928</v>
      </c>
      <c r="I268" s="31">
        <f>'Working counts'!I279/SUM('Working counts'!I$274:I$279)</f>
        <v>0.25501391421168795</v>
      </c>
      <c r="J268" s="31">
        <f>'Working counts'!J279/SUM('Working counts'!J$274:J$279)</f>
        <v>0.24758184523809523</v>
      </c>
      <c r="K268" s="31">
        <f>'Working counts'!K279/SUM('Working counts'!K$274:K$279)</f>
        <v>0.23800401597156506</v>
      </c>
      <c r="L268" s="31">
        <f>'Working counts'!L279/SUM('Working counts'!L$274:L$279)</f>
        <v>0.2253698570965768</v>
      </c>
      <c r="M268" s="31">
        <f>'Working counts'!M279/SUM('Working counts'!M$274:M$279)</f>
        <v>0.24397418372467253</v>
      </c>
      <c r="N268" s="31">
        <f>'Working counts'!N279/SUM('Working counts'!N$274:N$279)</f>
        <v>0.2582465716499882</v>
      </c>
      <c r="O268" s="31">
        <f>'Working counts'!O279/SUM('Working counts'!O$274:O$279)</f>
        <v>0.25269416573764397</v>
      </c>
      <c r="P268" s="31">
        <f>'Working counts'!P279/SUM('Working counts'!P$274:P$279)</f>
        <v>0.25320252556220274</v>
      </c>
      <c r="Q268" s="31">
        <f>'Working counts'!Q279/SUM('Working counts'!Q$274:Q$279)</f>
        <v>0.24540290748050447</v>
      </c>
      <c r="R268" s="31">
        <f>'Working counts'!R279/SUM('Working counts'!R$274:R$279)</f>
        <v>0.24488337037094593</v>
      </c>
      <c r="S268" s="31">
        <f>'Working counts'!S279/SUM('Working counts'!S$274:S$279)</f>
        <v>0.24914206259984617</v>
      </c>
      <c r="T268" s="31">
        <f>'Working counts'!T279/SUM('Working counts'!T$274:T$279)</f>
        <v>0.2715560520993905</v>
      </c>
      <c r="U268" s="31">
        <f>'Working counts'!U279/SUM('Working counts'!U$274:U$279)</f>
        <v>0.31299431842212855</v>
      </c>
      <c r="V268" s="31">
        <f>'Working counts'!V279/SUM('Working counts'!V$274:V$279)</f>
        <v>0.3860814166936616</v>
      </c>
      <c r="W268" t="s">
        <v>333</v>
      </c>
      <c r="X268" s="59">
        <f t="shared" si="20"/>
        <v>0.21583253164115115</v>
      </c>
      <c r="AM268" s="9"/>
    </row>
    <row r="269" spans="1:39" ht="12.75">
      <c r="A269" s="18"/>
      <c r="B269" s="31">
        <f>SUM(B263:B268)</f>
        <v>1</v>
      </c>
      <c r="C269" s="31">
        <f aca="true" t="shared" si="21" ref="C269:V269">SUM(C263:C268)</f>
        <v>1</v>
      </c>
      <c r="D269" s="31">
        <f t="shared" si="21"/>
        <v>1</v>
      </c>
      <c r="E269" s="31">
        <f t="shared" si="21"/>
        <v>0.9999999999999999</v>
      </c>
      <c r="F269" s="31">
        <f t="shared" si="21"/>
        <v>1</v>
      </c>
      <c r="G269" s="31">
        <f t="shared" si="21"/>
        <v>1</v>
      </c>
      <c r="H269" s="31">
        <f t="shared" si="21"/>
        <v>1</v>
      </c>
      <c r="I269" s="31">
        <f t="shared" si="21"/>
        <v>1</v>
      </c>
      <c r="J269" s="31">
        <f t="shared" si="21"/>
        <v>1</v>
      </c>
      <c r="K269" s="31">
        <f t="shared" si="21"/>
        <v>1</v>
      </c>
      <c r="L269" s="31">
        <f t="shared" si="21"/>
        <v>1</v>
      </c>
      <c r="M269" s="31">
        <f t="shared" si="21"/>
        <v>1</v>
      </c>
      <c r="N269" s="31">
        <f t="shared" si="21"/>
        <v>1</v>
      </c>
      <c r="O269" s="31">
        <f t="shared" si="21"/>
        <v>1</v>
      </c>
      <c r="P269" s="31">
        <f t="shared" si="21"/>
        <v>1</v>
      </c>
      <c r="Q269" s="31">
        <f t="shared" si="21"/>
        <v>1</v>
      </c>
      <c r="R269" s="31">
        <f t="shared" si="21"/>
        <v>1</v>
      </c>
      <c r="S269" s="31">
        <f t="shared" si="21"/>
        <v>1</v>
      </c>
      <c r="T269" s="31">
        <f t="shared" si="21"/>
        <v>1</v>
      </c>
      <c r="U269" s="31">
        <f t="shared" si="21"/>
        <v>1</v>
      </c>
      <c r="V269" s="31">
        <f t="shared" si="21"/>
        <v>1</v>
      </c>
      <c r="AM269" s="9"/>
    </row>
    <row r="270" spans="1:39" ht="12.75">
      <c r="A270" s="18" t="s">
        <v>86</v>
      </c>
      <c r="B270" s="30">
        <v>2.080646766169154</v>
      </c>
      <c r="C270" s="30">
        <v>2.0675056137724552</v>
      </c>
      <c r="D270" s="49">
        <v>2.1</v>
      </c>
      <c r="E270" s="49">
        <v>2.2</v>
      </c>
      <c r="F270" s="49">
        <v>2.3</v>
      </c>
      <c r="G270" s="49">
        <v>2.4</v>
      </c>
      <c r="H270" s="49">
        <v>2.5</v>
      </c>
      <c r="I270" s="49">
        <v>2.5</v>
      </c>
      <c r="J270" s="49">
        <v>2.5</v>
      </c>
      <c r="K270" s="49">
        <v>2.4</v>
      </c>
      <c r="L270" s="49">
        <v>2.2</v>
      </c>
      <c r="M270" s="49">
        <v>2.3</v>
      </c>
      <c r="N270" s="49">
        <v>2.3</v>
      </c>
      <c r="O270" s="49">
        <v>2.3</v>
      </c>
      <c r="P270" s="30">
        <v>2.3</v>
      </c>
      <c r="Q270" s="30">
        <v>2.3</v>
      </c>
      <c r="R270" s="32">
        <v>2.2</v>
      </c>
      <c r="S270" s="32">
        <v>2.3</v>
      </c>
      <c r="T270" s="32">
        <v>2.4</v>
      </c>
      <c r="U270" s="32">
        <v>2.7</v>
      </c>
      <c r="V270" s="32">
        <v>3.1</v>
      </c>
      <c r="AM270" s="9"/>
    </row>
    <row r="271" spans="1:39" ht="12.75">
      <c r="A271" s="18"/>
      <c r="B271" s="30"/>
      <c r="C271" s="30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30"/>
      <c r="Q271" s="30"/>
      <c r="R271" s="32"/>
      <c r="S271" s="32"/>
      <c r="T271" s="32"/>
      <c r="U271" s="32"/>
      <c r="V271" s="32"/>
      <c r="AM271" s="9"/>
    </row>
    <row r="272" spans="1:39" ht="12.75">
      <c r="A272" s="18" t="s">
        <v>225</v>
      </c>
      <c r="B272" s="14" t="s">
        <v>242</v>
      </c>
      <c r="C272" s="14" t="s">
        <v>242</v>
      </c>
      <c r="D272" s="14" t="s">
        <v>242</v>
      </c>
      <c r="E272" s="14" t="s">
        <v>242</v>
      </c>
      <c r="F272" s="31">
        <f>'Working counts'!F282/SUM('Working counts'!F$274:F$279)</f>
        <v>0.06288216395481397</v>
      </c>
      <c r="G272" s="31">
        <f>'Working counts'!G282/SUM('Working counts'!G$274:G$279)</f>
        <v>0.07060063224446786</v>
      </c>
      <c r="H272" s="31">
        <f>'Working counts'!H282/SUM('Working counts'!H$274:H$279)</f>
        <v>0.07527926177756192</v>
      </c>
      <c r="I272" s="31">
        <f>'Working counts'!I282/SUM('Working counts'!I$274:I$279)</f>
        <v>0.07247385087803473</v>
      </c>
      <c r="J272" s="31">
        <f>'Working counts'!J282/SUM('Working counts'!J$274:J$279)</f>
        <v>0.07273065476190477</v>
      </c>
      <c r="K272" s="31">
        <f>'Working counts'!K282/SUM('Working counts'!K$274:K$279)</f>
        <v>0.07198744431878505</v>
      </c>
      <c r="L272" s="31">
        <f>'Working counts'!L282/SUM('Working counts'!L$274:L$279)</f>
        <v>0.06301069075987185</v>
      </c>
      <c r="M272" s="31">
        <f>'Working counts'!M282/SUM('Working counts'!M$274:M$279)</f>
        <v>0.06691121762151125</v>
      </c>
      <c r="N272" s="31">
        <f>'Working counts'!N282/SUM('Working counts'!N$274:N$279)</f>
        <v>0.06622527713197884</v>
      </c>
      <c r="O272" s="31">
        <f>'Working counts'!O282/SUM('Working counts'!O$274:O$279)</f>
        <v>0.06734569778048038</v>
      </c>
      <c r="P272" s="31">
        <f>'Working counts'!P282/SUM('Working counts'!P$274:P$279)</f>
        <v>0.06608885869114893</v>
      </c>
      <c r="Q272" s="31">
        <f>'Working counts'!Q282/SUM('Working counts'!Q$274:Q$279)</f>
        <v>0.06203266904142999</v>
      </c>
      <c r="R272" s="31">
        <f>'Working counts'!R282/SUM('Working counts'!R$274:R$279)</f>
        <v>0.05911513776437862</v>
      </c>
      <c r="S272" s="31">
        <f>'Working counts'!S282/SUM('Working counts'!S$274:S$279)</f>
        <v>0.06274776640435477</v>
      </c>
      <c r="T272" s="31">
        <f>'Working counts'!T282/SUM('Working counts'!T$274:T$279)</f>
        <v>0.06802336270170128</v>
      </c>
      <c r="U272" s="31">
        <f>'Working counts'!U282/SUM('Working counts'!U$274:U$279)</f>
        <v>0.07613032383584047</v>
      </c>
      <c r="V272" s="31">
        <f>'Working counts'!V282/SUM('Working counts'!V$274:V$279)</f>
        <v>0.08485854659324048</v>
      </c>
      <c r="W272" t="s">
        <v>333</v>
      </c>
      <c r="X272" s="59">
        <f>V272-F272</f>
        <v>0.02197638263842651</v>
      </c>
      <c r="AM272" s="9"/>
    </row>
    <row r="273" spans="1:39" ht="12.75">
      <c r="A273" s="18" t="s">
        <v>226</v>
      </c>
      <c r="B273" s="14" t="s">
        <v>242</v>
      </c>
      <c r="C273" s="14" t="s">
        <v>242</v>
      </c>
      <c r="D273" s="14" t="s">
        <v>242</v>
      </c>
      <c r="E273" s="14" t="s">
        <v>242</v>
      </c>
      <c r="F273" s="31">
        <f>'Working counts'!F283/SUM('Working counts'!F$274:F$279)</f>
        <v>0.13975541506891906</v>
      </c>
      <c r="G273" s="31">
        <f>'Working counts'!G283/SUM('Working counts'!G$274:G$279)</f>
        <v>0.15944101560539917</v>
      </c>
      <c r="H273" s="31">
        <f>'Working counts'!H283/SUM('Working counts'!H$274:H$279)</f>
        <v>0.1787275376396309</v>
      </c>
      <c r="I273" s="31">
        <f>'Working counts'!I283/SUM('Working counts'!I$274:I$279)</f>
        <v>0.1825400633336532</v>
      </c>
      <c r="J273" s="31">
        <f>'Working counts'!J283/SUM('Working counts'!J$274:J$279)</f>
        <v>0.17485119047619047</v>
      </c>
      <c r="K273" s="31">
        <f>'Working counts'!K283/SUM('Working counts'!K$274:K$279)</f>
        <v>0.16601657165278003</v>
      </c>
      <c r="L273" s="31">
        <f>'Working counts'!L283/SUM('Working counts'!L$274:L$279)</f>
        <v>0.16235916633670494</v>
      </c>
      <c r="M273" s="31">
        <f>'Working counts'!M283/SUM('Working counts'!M$274:M$279)</f>
        <v>0.17706296610316127</v>
      </c>
      <c r="N273" s="31">
        <f>'Working counts'!N283/SUM('Working counts'!N$274:N$279)</f>
        <v>0.19202129451800937</v>
      </c>
      <c r="O273" s="31">
        <f>'Working counts'!O283/SUM('Working counts'!O$274:O$279)</f>
        <v>0.18534846795716362</v>
      </c>
      <c r="P273" s="31">
        <f>'Working counts'!P283/SUM('Working counts'!P$274:P$279)</f>
        <v>0.1871136668710538</v>
      </c>
      <c r="Q273" s="31">
        <f>'Working counts'!Q283/SUM('Working counts'!Q$274:Q$279)</f>
        <v>0.1833702384390745</v>
      </c>
      <c r="R273" s="31">
        <f>'Working counts'!R283/SUM('Working counts'!R$274:R$279)</f>
        <v>0.1857682326065673</v>
      </c>
      <c r="S273" s="31">
        <f>'Working counts'!S283/SUM('Working counts'!S$274:S$279)</f>
        <v>0.1863942961954914</v>
      </c>
      <c r="T273" s="31">
        <f>'Working counts'!T283/SUM('Working counts'!T$274:T$279)</f>
        <v>0.20353268939768918</v>
      </c>
      <c r="U273" s="31">
        <f>'Working counts'!U283/SUM('Working counts'!U$274:U$279)</f>
        <v>0.2368639945862881</v>
      </c>
      <c r="V273" s="31">
        <f>'Working counts'!V283/SUM('Working counts'!V$274:V$279)</f>
        <v>0.30122287010042115</v>
      </c>
      <c r="W273" t="s">
        <v>333</v>
      </c>
      <c r="X273" s="59">
        <f>V273-F273</f>
        <v>0.1614674550315021</v>
      </c>
      <c r="AM273" s="9"/>
    </row>
    <row r="274" spans="6:22" ht="12.75">
      <c r="F274" s="30">
        <f>F268-SUM(F272:F273)</f>
        <v>0</v>
      </c>
      <c r="G274" s="30">
        <f aca="true" t="shared" si="22" ref="G274:V274">G268-SUM(G272:G273)</f>
        <v>0</v>
      </c>
      <c r="H274" s="30">
        <f t="shared" si="22"/>
        <v>0</v>
      </c>
      <c r="I274" s="30">
        <f t="shared" si="22"/>
        <v>0</v>
      </c>
      <c r="J274" s="30">
        <f t="shared" si="22"/>
        <v>0</v>
      </c>
      <c r="K274" s="30">
        <f t="shared" si="22"/>
        <v>0</v>
      </c>
      <c r="L274" s="30">
        <f t="shared" si="22"/>
        <v>0</v>
      </c>
      <c r="M274" s="30">
        <f t="shared" si="22"/>
        <v>0</v>
      </c>
      <c r="N274" s="30">
        <f t="shared" si="22"/>
        <v>0</v>
      </c>
      <c r="O274" s="30">
        <f t="shared" si="22"/>
        <v>0</v>
      </c>
      <c r="P274" s="30">
        <f t="shared" si="22"/>
        <v>0</v>
      </c>
      <c r="Q274" s="30">
        <f t="shared" si="22"/>
        <v>0</v>
      </c>
      <c r="R274" s="30">
        <f t="shared" si="22"/>
        <v>0</v>
      </c>
      <c r="S274" s="30">
        <f t="shared" si="22"/>
        <v>0</v>
      </c>
      <c r="T274" s="30">
        <f t="shared" si="22"/>
        <v>0</v>
      </c>
      <c r="U274" s="30">
        <f t="shared" si="22"/>
        <v>0</v>
      </c>
      <c r="V274" s="30">
        <f t="shared" si="22"/>
        <v>0</v>
      </c>
    </row>
    <row r="275" spans="18:22" ht="12.75">
      <c r="R275" s="10"/>
      <c r="S275" s="10"/>
      <c r="T275" s="10"/>
      <c r="U275" s="10"/>
      <c r="V275" s="10"/>
    </row>
    <row r="276" spans="1:39" ht="12.75">
      <c r="A276" s="18" t="s">
        <v>97</v>
      </c>
      <c r="B276" s="1"/>
      <c r="R276" s="10"/>
      <c r="S276" s="10"/>
      <c r="T276" s="10"/>
      <c r="U276" s="10"/>
      <c r="V276" s="10"/>
      <c r="AM276" s="9"/>
    </row>
    <row r="277" spans="1:40" ht="12.75">
      <c r="A277" s="18" t="s">
        <v>98</v>
      </c>
      <c r="B277" s="31">
        <f>'Working counts'!K290/('Working counts'!K290+'Working counts'!K291)</f>
        <v>0.36239807051797407</v>
      </c>
      <c r="C277" s="31">
        <f>'Working counts'!L290/('Working counts'!L290+'Working counts'!L291)</f>
        <v>0.4265740493365393</v>
      </c>
      <c r="D277" s="31">
        <f>'Working counts'!M290/('Working counts'!M290+'Working counts'!M291)</f>
        <v>0.4314868303417922</v>
      </c>
      <c r="E277" s="31">
        <f>'Working counts'!N290/('Working counts'!N290+'Working counts'!N291)</f>
        <v>0.42441084184525</v>
      </c>
      <c r="F277" s="31">
        <f>'Working counts'!O290/('Working counts'!O290+'Working counts'!O291)</f>
        <v>0.4089571208776507</v>
      </c>
      <c r="G277" s="31">
        <f>'Working counts'!P290/('Working counts'!P290+'Working counts'!P291)</f>
        <v>0.3929405234200258</v>
      </c>
      <c r="H277" s="31">
        <f>'Working counts'!Q290/('Working counts'!Q290+'Working counts'!Q291)</f>
        <v>0.3858428805237316</v>
      </c>
      <c r="I277" s="31">
        <f>'Working counts'!R290/('Working counts'!R290+'Working counts'!R291)</f>
        <v>0.38867256096629865</v>
      </c>
      <c r="J277" s="31">
        <f>'Working counts'!B290/SUM('Working counts'!B$290:B$291)</f>
        <v>0.36752959011136377</v>
      </c>
      <c r="K277" s="31">
        <f>'Working counts'!C290/SUM('Working counts'!C$290:C$291)</f>
        <v>0.3649665320573104</v>
      </c>
      <c r="L277" s="31">
        <f>'Working counts'!D290/SUM('Working counts'!D$290:D$291)</f>
        <v>0.3704527189927672</v>
      </c>
      <c r="M277" s="31">
        <f>'Working counts'!E290/SUM('Working counts'!E$290:E$291)</f>
        <v>0.36497601096641535</v>
      </c>
      <c r="N277" s="31">
        <f>'Working counts'!F290/SUM('Working counts'!F$290:F$291)</f>
        <v>0.35776952056561906</v>
      </c>
      <c r="O277" s="31">
        <f>'Working counts'!G290/SUM('Working counts'!G$290:G$291)</f>
        <v>0.3611374644230289</v>
      </c>
      <c r="P277" s="31">
        <f>'Working counts'!H290/SUM('Working counts'!H$290:H$291)</f>
        <v>0.36023417277499575</v>
      </c>
      <c r="Q277" s="31">
        <f>'Working counts'!I290/SUM('Working counts'!I$290:I$291)</f>
        <v>0.35443188861870023</v>
      </c>
      <c r="R277" s="31">
        <f>'Working counts'!J290/SUM('Working counts'!J$290:J$291)</f>
        <v>0.3551613424803086</v>
      </c>
      <c r="S277" s="31">
        <f>'Working counts'!K290/SUM('Working counts'!K$290:K$291)</f>
        <v>0.36239807051797407</v>
      </c>
      <c r="T277" s="31">
        <f>'Working counts'!L290/SUM('Working counts'!L$290:L$291)</f>
        <v>0.4265740493365393</v>
      </c>
      <c r="U277" s="31">
        <f>'Working counts'!M290/SUM('Working counts'!M$290:M$291)</f>
        <v>0.4314868303417922</v>
      </c>
      <c r="V277" s="31">
        <f>'Working counts'!N290/SUM('Working counts'!N$290:N$291)</f>
        <v>0.42441084184525</v>
      </c>
      <c r="W277" t="s">
        <v>333</v>
      </c>
      <c r="X277" s="59">
        <f>V277-B277</f>
        <v>0.06201277132727595</v>
      </c>
      <c r="AN277" s="9"/>
    </row>
    <row r="278" spans="1:40" ht="12.75">
      <c r="A278" s="18" t="s">
        <v>269</v>
      </c>
      <c r="B278" s="31">
        <f>'Working counts'!K291/('Working counts'!K290+'Working counts'!K291)</f>
        <v>0.637601929482026</v>
      </c>
      <c r="C278" s="31">
        <f>'Working counts'!L291/('Working counts'!L290+'Working counts'!L291)</f>
        <v>0.5734259506634607</v>
      </c>
      <c r="D278" s="31">
        <f>'Working counts'!M291/('Working counts'!M290+'Working counts'!M291)</f>
        <v>0.5685131696582079</v>
      </c>
      <c r="E278" s="31">
        <f>'Working counts'!N291/('Working counts'!N290+'Working counts'!N291)</f>
        <v>0.57558915815475</v>
      </c>
      <c r="F278" s="31">
        <f>'Working counts'!O291/('Working counts'!O290+'Working counts'!O291)</f>
        <v>0.5910428791223493</v>
      </c>
      <c r="G278" s="31">
        <f>'Working counts'!P291/('Working counts'!P290+'Working counts'!P291)</f>
        <v>0.6070594765799742</v>
      </c>
      <c r="H278" s="31">
        <f>'Working counts'!Q291/('Working counts'!Q290+'Working counts'!Q291)</f>
        <v>0.6141571194762684</v>
      </c>
      <c r="I278" s="31">
        <f>'Working counts'!R291/('Working counts'!R290+'Working counts'!R291)</f>
        <v>0.6113274390337013</v>
      </c>
      <c r="J278" s="31">
        <f>'Working counts'!B291/SUM('Working counts'!B$290:B$291)</f>
        <v>0.6324704098886362</v>
      </c>
      <c r="K278" s="31">
        <f>'Working counts'!C291/SUM('Working counts'!C$290:C$291)</f>
        <v>0.6350334679426896</v>
      </c>
      <c r="L278" s="31">
        <f>'Working counts'!D291/SUM('Working counts'!D$290:D$291)</f>
        <v>0.6295472810072328</v>
      </c>
      <c r="M278" s="31">
        <f>'Working counts'!E291/SUM('Working counts'!E$290:E$291)</f>
        <v>0.6350239890335847</v>
      </c>
      <c r="N278" s="31">
        <f>'Working counts'!F291/SUM('Working counts'!F$290:F$291)</f>
        <v>0.6422304794343809</v>
      </c>
      <c r="O278" s="31">
        <f>'Working counts'!G291/SUM('Working counts'!G$290:G$291)</f>
        <v>0.638862535576971</v>
      </c>
      <c r="P278" s="31">
        <f>'Working counts'!H291/SUM('Working counts'!H$290:H$291)</f>
        <v>0.6397658272250042</v>
      </c>
      <c r="Q278" s="31">
        <f>'Working counts'!I291/SUM('Working counts'!I$290:I$291)</f>
        <v>0.6455681113812998</v>
      </c>
      <c r="R278" s="31">
        <f>'Working counts'!J291/SUM('Working counts'!J$290:J$291)</f>
        <v>0.6448386575196914</v>
      </c>
      <c r="S278" s="31">
        <f>'Working counts'!K291/SUM('Working counts'!K$290:K$291)</f>
        <v>0.637601929482026</v>
      </c>
      <c r="T278" s="31">
        <f>'Working counts'!L291/SUM('Working counts'!L$290:L$291)</f>
        <v>0.5734259506634607</v>
      </c>
      <c r="U278" s="31">
        <f>'Working counts'!M291/SUM('Working counts'!M$290:M$291)</f>
        <v>0.5685131696582079</v>
      </c>
      <c r="V278" s="31">
        <f>'Working counts'!N291/SUM('Working counts'!N$290:N$291)</f>
        <v>0.57558915815475</v>
      </c>
      <c r="W278" t="s">
        <v>333</v>
      </c>
      <c r="X278" s="59">
        <f>V278-B278</f>
        <v>-0.062012771327276006</v>
      </c>
      <c r="AN278" s="9"/>
    </row>
    <row r="279" spans="1:24" ht="12.75">
      <c r="A279" s="40"/>
      <c r="B279" s="101">
        <f>B277/(B277+B278)</f>
        <v>0.36239807051797407</v>
      </c>
      <c r="C279" s="101">
        <f aca="true" t="shared" si="23" ref="C279:V279">C277/(C277+C278)</f>
        <v>0.4265740493365393</v>
      </c>
      <c r="D279" s="101">
        <f t="shared" si="23"/>
        <v>0.4314868303417922</v>
      </c>
      <c r="E279" s="101">
        <f t="shared" si="23"/>
        <v>0.42441084184525</v>
      </c>
      <c r="F279" s="101">
        <f t="shared" si="23"/>
        <v>0.4089571208776507</v>
      </c>
      <c r="G279" s="101">
        <f t="shared" si="23"/>
        <v>0.3929405234200258</v>
      </c>
      <c r="H279" s="101">
        <f t="shared" si="23"/>
        <v>0.3858428805237316</v>
      </c>
      <c r="I279" s="101">
        <f t="shared" si="23"/>
        <v>0.38867256096629865</v>
      </c>
      <c r="J279" s="101">
        <f t="shared" si="23"/>
        <v>0.36752959011136377</v>
      </c>
      <c r="K279" s="101">
        <f t="shared" si="23"/>
        <v>0.3649665320573104</v>
      </c>
      <c r="L279" s="101">
        <f t="shared" si="23"/>
        <v>0.3704527189927672</v>
      </c>
      <c r="M279" s="101">
        <f t="shared" si="23"/>
        <v>0.36497601096641535</v>
      </c>
      <c r="N279" s="101">
        <f t="shared" si="23"/>
        <v>0.35776952056561906</v>
      </c>
      <c r="O279" s="101">
        <f t="shared" si="23"/>
        <v>0.3611374644230289</v>
      </c>
      <c r="P279" s="101">
        <f t="shared" si="23"/>
        <v>0.36023417277499575</v>
      </c>
      <c r="Q279" s="101">
        <f t="shared" si="23"/>
        <v>0.35443188861870023</v>
      </c>
      <c r="R279" s="101">
        <f t="shared" si="23"/>
        <v>0.3551613424803086</v>
      </c>
      <c r="S279" s="101">
        <f t="shared" si="23"/>
        <v>0.36239807051797407</v>
      </c>
      <c r="T279" s="101">
        <f t="shared" si="23"/>
        <v>0.4265740493365393</v>
      </c>
      <c r="U279" s="101">
        <f t="shared" si="23"/>
        <v>0.4314868303417922</v>
      </c>
      <c r="V279" s="101">
        <f t="shared" si="23"/>
        <v>0.42441084184525</v>
      </c>
      <c r="X279" s="9"/>
    </row>
    <row r="280" spans="18:22" ht="12.75">
      <c r="R280" s="10"/>
      <c r="S280" s="10"/>
      <c r="T280" s="10"/>
      <c r="U280" s="10"/>
      <c r="V280" s="10"/>
    </row>
    <row r="282" spans="1:22" ht="12.75">
      <c r="A282" s="18" t="s">
        <v>113</v>
      </c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R282" s="10"/>
      <c r="S282" s="10"/>
      <c r="T282" s="10"/>
      <c r="U282" s="10"/>
      <c r="V282" s="10"/>
    </row>
    <row r="283" spans="1:39" ht="12.75">
      <c r="A283" s="18" t="s">
        <v>111</v>
      </c>
      <c r="B283" s="14" t="s">
        <v>242</v>
      </c>
      <c r="C283" s="14" t="s">
        <v>242</v>
      </c>
      <c r="D283" s="14" t="s">
        <v>242</v>
      </c>
      <c r="E283" s="14" t="s">
        <v>242</v>
      </c>
      <c r="F283" s="14" t="s">
        <v>242</v>
      </c>
      <c r="G283" s="14" t="s">
        <v>242</v>
      </c>
      <c r="H283" s="14" t="s">
        <v>242</v>
      </c>
      <c r="I283" s="14" t="s">
        <v>242</v>
      </c>
      <c r="J283" s="14" t="s">
        <v>242</v>
      </c>
      <c r="K283" s="14" t="s">
        <v>242</v>
      </c>
      <c r="L283" s="31">
        <f>'Working counts'!L309/('Working counts'!L$309+'Working counts'!L$310+'Working counts'!L$312)</f>
        <v>0.7400608771275935</v>
      </c>
      <c r="M283" s="31">
        <f>'Working counts'!M309/(SUM('Working counts'!M$309:M$312)-'Working counts'!M$311)</f>
        <v>0.6773303414397477</v>
      </c>
      <c r="N283" s="31">
        <f>'Working counts'!N309/(SUM('Working counts'!N$309:N$312)-'Working counts'!N$311)</f>
        <v>0.6725460568373336</v>
      </c>
      <c r="O283" s="31">
        <f>'Working counts'!O309/(SUM('Working counts'!O$309:O$312)-'Working counts'!O$311)</f>
        <v>0.6613571834185122</v>
      </c>
      <c r="P283" s="31">
        <f>'Working counts'!P309/(SUM('Working counts'!P$309:P$312)-'Working counts'!P$311)</f>
        <v>0.5756462548283406</v>
      </c>
      <c r="Q283" s="31">
        <f>'Working counts'!Q309/('Working counts'!Q$309+'Working counts'!Q$310+'Working counts'!Q$312)</f>
        <v>0.6250608584240871</v>
      </c>
      <c r="R283" s="31">
        <f>'Working counts'!R309/('Working counts'!R$309+'Working counts'!R$310+'Working counts'!R$312)</f>
        <v>0.8799051736159531</v>
      </c>
      <c r="S283" s="31">
        <f>'Working counts'!S309/('Working counts'!S$309+'Working counts'!S$310+'Working counts'!S$312)</f>
        <v>0.7056629976339883</v>
      </c>
      <c r="T283" s="31">
        <f>'Working counts'!T309/('Working counts'!T$309+'Working counts'!T$310+'Working counts'!T$312)</f>
        <v>0.6968809792756864</v>
      </c>
      <c r="U283" s="31">
        <f>'Working counts'!U309/('Working counts'!U$309+'Working counts'!U$310+'Working counts'!U$312)</f>
        <v>0.6015843216264481</v>
      </c>
      <c r="V283" s="31">
        <f>'Working counts'!V309/('Working counts'!V$309+'Working counts'!V$310+'Working counts'!V$312)</f>
        <v>0.5987847222222222</v>
      </c>
      <c r="AM283" s="9"/>
    </row>
    <row r="284" spans="1:22" ht="12.75">
      <c r="A284" s="18" t="s">
        <v>112</v>
      </c>
      <c r="B284" s="14" t="s">
        <v>242</v>
      </c>
      <c r="C284" s="14" t="s">
        <v>242</v>
      </c>
      <c r="D284" s="14" t="s">
        <v>242</v>
      </c>
      <c r="E284" s="14" t="s">
        <v>242</v>
      </c>
      <c r="F284" s="14" t="s">
        <v>242</v>
      </c>
      <c r="G284" s="14" t="s">
        <v>242</v>
      </c>
      <c r="H284" s="14" t="s">
        <v>242</v>
      </c>
      <c r="I284" s="14" t="s">
        <v>242</v>
      </c>
      <c r="J284" s="14" t="s">
        <v>242</v>
      </c>
      <c r="K284" s="14" t="s">
        <v>242</v>
      </c>
      <c r="L284" s="31">
        <f>'Working counts'!L310/('Working counts'!L$309+'Working counts'!L$310+'Working counts'!L$312)</f>
        <v>0.07777363647658095</v>
      </c>
      <c r="M284" s="31">
        <f>'Working counts'!M310/(SUM('Working counts'!M$309:M$312)-'Working counts'!M$311)</f>
        <v>0.14530899387470436</v>
      </c>
      <c r="N284" s="31">
        <f>'Working counts'!N310/(SUM('Working counts'!N$309:N$312)-'Working counts'!N$311)</f>
        <v>0.135700586970419</v>
      </c>
      <c r="O284" s="31">
        <f>'Working counts'!O310/(SUM('Working counts'!O$309:O$312)-'Working counts'!O$311)</f>
        <v>0.14775695627484384</v>
      </c>
      <c r="P284" s="31">
        <f>'Working counts'!P310/(SUM('Working counts'!P$309:P$312)-'Working counts'!P$311)</f>
        <v>0.2650927851759812</v>
      </c>
      <c r="Q284" s="31">
        <f>'Working counts'!Q310/('Working counts'!Q$309+'Working counts'!Q$310+'Working counts'!Q$312)</f>
        <v>0.25235105701473415</v>
      </c>
      <c r="R284" s="31">
        <f>'Working counts'!R310/('Working counts'!R$309+'Working counts'!R$310+'Working counts'!R$312)</f>
        <v>0.08972249337609817</v>
      </c>
      <c r="S284" s="31">
        <f>'Working counts'!S310/('Working counts'!S$309+'Working counts'!S$310+'Working counts'!S$312)</f>
        <v>0.2767205020059665</v>
      </c>
      <c r="T284" s="31">
        <f>'Working counts'!T310/('Working counts'!T$309+'Working counts'!T$310+'Working counts'!T$312)</f>
        <v>0.2897484958159478</v>
      </c>
      <c r="U284" s="31">
        <f>'Working counts'!U310/('Working counts'!U$309+'Working counts'!U$310+'Working counts'!U$312)</f>
        <v>0.3901277531022483</v>
      </c>
      <c r="V284" s="31">
        <f>'Working counts'!V310/('Working counts'!V$309+'Working counts'!V$310+'Working counts'!V$312)</f>
        <v>0.3950954861111111</v>
      </c>
    </row>
    <row r="285" spans="1:22" ht="12.75">
      <c r="A285" s="18" t="s">
        <v>351</v>
      </c>
      <c r="B285" s="14" t="s">
        <v>242</v>
      </c>
      <c r="C285" s="14" t="s">
        <v>242</v>
      </c>
      <c r="D285" s="14" t="s">
        <v>242</v>
      </c>
      <c r="E285" s="14" t="s">
        <v>242</v>
      </c>
      <c r="F285" s="14" t="s">
        <v>242</v>
      </c>
      <c r="G285" s="14" t="s">
        <v>242</v>
      </c>
      <c r="H285" s="14" t="s">
        <v>242</v>
      </c>
      <c r="I285" s="14" t="s">
        <v>242</v>
      </c>
      <c r="J285" s="14" t="s">
        <v>242</v>
      </c>
      <c r="K285" s="14" t="s">
        <v>242</v>
      </c>
      <c r="L285" s="31">
        <f>'Working counts'!L312/('Working counts'!L$309+'Working counts'!L$310+'Working counts'!L$312)</f>
        <v>0.18216548639582558</v>
      </c>
      <c r="M285" s="31">
        <f>'Working counts'!M312/(SUM('Working counts'!M$309:M$312)-'Working counts'!M$311)</f>
        <v>0.17736066468554795</v>
      </c>
      <c r="N285" s="31">
        <f>'Working counts'!N312/(SUM('Working counts'!N$309:N$312)-'Working counts'!N$311)</f>
        <v>0.19175335619224734</v>
      </c>
      <c r="O285" s="31">
        <f>'Working counts'!O312/(SUM('Working counts'!O$309:O$312)-'Working counts'!O$311)</f>
        <v>0.19088586030664395</v>
      </c>
      <c r="P285" s="31">
        <f>'Working counts'!P312/(SUM('Working counts'!P$309:P$312)-'Working counts'!P$311)</f>
        <v>0.15926095999567813</v>
      </c>
      <c r="Q285" s="31">
        <f>'Working counts'!Q312/('Working counts'!Q$309+'Working counts'!Q$310+'Working counts'!Q$312)</f>
        <v>0.12258808456117873</v>
      </c>
      <c r="R285" s="31">
        <f>'Working counts'!R312/('Working counts'!R$309+'Working counts'!R$310+'Working counts'!R$312)</f>
        <v>0.03037233300794868</v>
      </c>
      <c r="S285" s="31">
        <f>'Working counts'!S312/('Working counts'!S$309+'Working counts'!S$310+'Working counts'!S$312)</f>
        <v>0.01761650036004526</v>
      </c>
      <c r="T285" s="31">
        <f>'Working counts'!T312/('Working counts'!T$309+'Working counts'!T$310+'Working counts'!T$312)</f>
        <v>0.0133705249083658</v>
      </c>
      <c r="U285" s="31">
        <f>'Working counts'!U312/('Working counts'!U$309+'Working counts'!U$310+'Working counts'!U$312)</f>
        <v>0.00828792527130363</v>
      </c>
      <c r="V285" s="31">
        <f>'Working counts'!V312/('Working counts'!V$309+'Working counts'!V$310+'Working counts'!V$312)</f>
        <v>0.006119791666666667</v>
      </c>
    </row>
    <row r="286" spans="1:22" ht="12.75">
      <c r="A286" s="18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31">
        <f aca="true" t="shared" si="24" ref="L286:V286">SUM(L283:L285)</f>
        <v>1</v>
      </c>
      <c r="M286" s="31">
        <f t="shared" si="24"/>
        <v>1</v>
      </c>
      <c r="N286" s="31">
        <f t="shared" si="24"/>
        <v>0.9999999999999999</v>
      </c>
      <c r="O286" s="31">
        <f t="shared" si="24"/>
        <v>1</v>
      </c>
      <c r="P286" s="31">
        <f t="shared" si="24"/>
        <v>1</v>
      </c>
      <c r="Q286" s="31">
        <f t="shared" si="24"/>
        <v>1</v>
      </c>
      <c r="R286" s="31">
        <f t="shared" si="24"/>
        <v>1</v>
      </c>
      <c r="S286" s="31">
        <f t="shared" si="24"/>
        <v>1</v>
      </c>
      <c r="T286" s="31">
        <f t="shared" si="24"/>
        <v>1</v>
      </c>
      <c r="U286" s="31">
        <f t="shared" si="24"/>
        <v>1.0000000000000002</v>
      </c>
      <c r="V286" s="31">
        <f t="shared" si="24"/>
        <v>1</v>
      </c>
    </row>
    <row r="287" spans="16:22" ht="12.75">
      <c r="P287" s="1"/>
      <c r="R287" s="10"/>
      <c r="S287" s="10"/>
      <c r="T287" s="10"/>
      <c r="U287" s="10"/>
      <c r="V287" s="10"/>
    </row>
    <row r="288" spans="1:22" ht="12.75">
      <c r="A288" s="18" t="s">
        <v>105</v>
      </c>
      <c r="R288" s="10"/>
      <c r="S288" s="10"/>
      <c r="T288" s="10"/>
      <c r="U288" s="10"/>
      <c r="V288" s="10"/>
    </row>
    <row r="289" spans="1:24" ht="12.75">
      <c r="A289" s="18" t="s">
        <v>100</v>
      </c>
      <c r="B289" s="14" t="s">
        <v>242</v>
      </c>
      <c r="C289" s="14" t="s">
        <v>242</v>
      </c>
      <c r="D289" s="14" t="s">
        <v>242</v>
      </c>
      <c r="E289" s="14" t="s">
        <v>242</v>
      </c>
      <c r="F289" s="14" t="s">
        <v>242</v>
      </c>
      <c r="G289" s="14" t="s">
        <v>242</v>
      </c>
      <c r="H289" s="14" t="s">
        <v>242</v>
      </c>
      <c r="I289" s="14" t="s">
        <v>242</v>
      </c>
      <c r="J289" s="14" t="s">
        <v>242</v>
      </c>
      <c r="K289" s="14" t="s">
        <v>242</v>
      </c>
      <c r="L289" s="31">
        <f>'Working counts'!L315/SUM('Working counts'!L$315:L$320)</f>
        <v>0.8739799607478567</v>
      </c>
      <c r="M289" s="31">
        <f>'Working counts'!M315/SUM('Working counts'!M$315:M$320)</f>
        <v>0.863547429496694</v>
      </c>
      <c r="N289" s="31">
        <f>'Working counts'!N315/SUM('Working counts'!N$315:N$320)</f>
        <v>0.8344142088968551</v>
      </c>
      <c r="O289" s="31">
        <f>'Working counts'!O315/SUM('Working counts'!O$315:O$320)</f>
        <v>0.8540079051383399</v>
      </c>
      <c r="P289" s="31">
        <f>'Working counts'!P315/SUM('Working counts'!P$315:P$320)</f>
        <v>0.8435580064135223</v>
      </c>
      <c r="Q289" s="31">
        <f>'Working counts'!Q315/SUM('Working counts'!Q$315:Q$320)</f>
        <v>0.8257279682941597</v>
      </c>
      <c r="R289" s="31">
        <f>'Working counts'!R315/SUM('Working counts'!R$315:R$320)</f>
        <v>0.8653785835267549</v>
      </c>
      <c r="S289" s="31">
        <f>'Working counts'!S315/SUM('Working counts'!S$315:S$320)</f>
        <v>0.9057472587561516</v>
      </c>
      <c r="T289" s="31">
        <f>'Working counts'!T315/SUM('Working counts'!T$315:T$320)</f>
        <v>0.9098766061594942</v>
      </c>
      <c r="U289" s="31">
        <f>'Working counts'!U315/SUM('Working counts'!U$315:U$320)</f>
        <v>0.9278395409600901</v>
      </c>
      <c r="V289" s="31">
        <f>'Working counts'!V315/SUM('Working counts'!V$315:V$320)</f>
        <v>0.9004479121514232</v>
      </c>
      <c r="W289" t="s">
        <v>333</v>
      </c>
      <c r="X289" s="59">
        <f aca="true" t="shared" si="25" ref="X289:X294">V289-L289</f>
        <v>0.026467951403566503</v>
      </c>
    </row>
    <row r="290" spans="1:24" ht="12.75">
      <c r="A290" s="18" t="s">
        <v>101</v>
      </c>
      <c r="B290" s="14" t="s">
        <v>242</v>
      </c>
      <c r="C290" s="14" t="s">
        <v>242</v>
      </c>
      <c r="D290" s="14" t="s">
        <v>242</v>
      </c>
      <c r="E290" s="14" t="s">
        <v>242</v>
      </c>
      <c r="F290" s="14" t="s">
        <v>242</v>
      </c>
      <c r="G290" s="14" t="s">
        <v>242</v>
      </c>
      <c r="H290" s="14" t="s">
        <v>242</v>
      </c>
      <c r="I290" s="14" t="s">
        <v>242</v>
      </c>
      <c r="J290" s="14" t="s">
        <v>242</v>
      </c>
      <c r="K290" s="14" t="s">
        <v>242</v>
      </c>
      <c r="L290" s="31">
        <f>'Working counts'!L316/SUM('Working counts'!L$315:L$320)</f>
        <v>0.07543986502771752</v>
      </c>
      <c r="M290" s="31">
        <f>'Working counts'!M316/SUM('Working counts'!M$315:M$320)</f>
        <v>0.09415058696532182</v>
      </c>
      <c r="N290" s="31">
        <f>'Working counts'!N316/SUM('Working counts'!N$315:N$320)</f>
        <v>0.11787518331432296</v>
      </c>
      <c r="O290" s="31">
        <f>'Working counts'!O316/SUM('Working counts'!O$315:O$320)</f>
        <v>0.09811857707509881</v>
      </c>
      <c r="P290" s="31">
        <f>'Working counts'!P316/SUM('Working counts'!P$315:P$320)</f>
        <v>0.10998891119968832</v>
      </c>
      <c r="Q290" s="31">
        <f>'Working counts'!Q316/SUM('Working counts'!Q$315:Q$320)</f>
        <v>0.1231078328838003</v>
      </c>
      <c r="R290" s="31">
        <f>'Working counts'!R316/SUM('Working counts'!R$315:R$320)</f>
        <v>0.09268552788407251</v>
      </c>
      <c r="S290" s="31">
        <f>'Working counts'!S316/SUM('Working counts'!S$315:S$320)</f>
        <v>0.059199355340029354</v>
      </c>
      <c r="T290" s="31">
        <f>'Working counts'!T316/SUM('Working counts'!T$315:T$320)</f>
        <v>0.050071384866408324</v>
      </c>
      <c r="U290" s="31">
        <f>'Working counts'!U316/SUM('Working counts'!U$315:U$320)</f>
        <v>0.04341923254265075</v>
      </c>
      <c r="V290" s="31">
        <f>'Working counts'!V316/SUM('Working counts'!V$315:V$320)</f>
        <v>0.05878244954967972</v>
      </c>
      <c r="W290" t="s">
        <v>333</v>
      </c>
      <c r="X290" s="59">
        <f t="shared" si="25"/>
        <v>-0.0166574154780378</v>
      </c>
    </row>
    <row r="291" spans="1:24" ht="12.75">
      <c r="A291" s="18" t="s">
        <v>102</v>
      </c>
      <c r="B291" s="14" t="s">
        <v>242</v>
      </c>
      <c r="C291" s="14" t="s">
        <v>242</v>
      </c>
      <c r="D291" s="14" t="s">
        <v>242</v>
      </c>
      <c r="E291" s="14" t="s">
        <v>242</v>
      </c>
      <c r="F291" s="14" t="s">
        <v>242</v>
      </c>
      <c r="G291" s="14" t="s">
        <v>242</v>
      </c>
      <c r="H291" s="14" t="s">
        <v>242</v>
      </c>
      <c r="I291" s="14" t="s">
        <v>242</v>
      </c>
      <c r="J291" s="14" t="s">
        <v>242</v>
      </c>
      <c r="K291" s="14" t="s">
        <v>242</v>
      </c>
      <c r="L291" s="31">
        <f>'Working counts'!L317/SUM('Working counts'!L$315:L$320)</f>
        <v>0.001928175463967221</v>
      </c>
      <c r="M291" s="31">
        <f>'Working counts'!M317/SUM('Working counts'!M$315:M$320)</f>
        <v>0.0012818782890298204</v>
      </c>
      <c r="N291" s="31">
        <f>'Working counts'!N317/SUM('Working counts'!N$315:N$320)</f>
        <v>0.002574547824670034</v>
      </c>
      <c r="O291" s="31">
        <f>'Working counts'!O317/SUM('Working counts'!O$315:O$320)</f>
        <v>0.002181818181818182</v>
      </c>
      <c r="P291" s="31">
        <f>'Working counts'!P317/SUM('Working counts'!P$315:P$320)</f>
        <v>0.0023676087151976504</v>
      </c>
      <c r="Q291" s="31">
        <f>'Working counts'!Q317/SUM('Working counts'!Q$315:Q$320)</f>
        <v>0</v>
      </c>
      <c r="R291" s="31">
        <f>'Working counts'!R317/SUM('Working counts'!R$315:R$320)</f>
        <v>0.008029609183865504</v>
      </c>
      <c r="S291" s="31">
        <f>'Working counts'!S317/SUM('Working counts'!S$315:S$320)</f>
        <v>0.007971911244136185</v>
      </c>
      <c r="T291" s="31">
        <f>'Working counts'!T317/SUM('Working counts'!T$315:T$320)</f>
        <v>0.012849275953497859</v>
      </c>
      <c r="U291" s="31">
        <f>'Working counts'!U317/SUM('Working counts'!U$315:U$320)</f>
        <v>0.0028946155028433834</v>
      </c>
      <c r="V291" s="31">
        <f>'Working counts'!V317/SUM('Working counts'!V$315:V$320)</f>
        <v>0.0038530077541781053</v>
      </c>
      <c r="W291" t="s">
        <v>333</v>
      </c>
      <c r="X291" s="59">
        <f t="shared" si="25"/>
        <v>0.0019248322902108842</v>
      </c>
    </row>
    <row r="292" spans="1:24" ht="12.75">
      <c r="A292" s="18" t="s">
        <v>103</v>
      </c>
      <c r="B292" s="14" t="s">
        <v>242</v>
      </c>
      <c r="C292" s="14" t="s">
        <v>242</v>
      </c>
      <c r="D292" s="14" t="s">
        <v>242</v>
      </c>
      <c r="E292" s="14" t="s">
        <v>242</v>
      </c>
      <c r="F292" s="14" t="s">
        <v>242</v>
      </c>
      <c r="G292" s="14" t="s">
        <v>242</v>
      </c>
      <c r="H292" s="14" t="s">
        <v>242</v>
      </c>
      <c r="I292" s="14" t="s">
        <v>242</v>
      </c>
      <c r="J292" s="14" t="s">
        <v>242</v>
      </c>
      <c r="K292" s="14" t="s">
        <v>242</v>
      </c>
      <c r="L292" s="31">
        <f>'Working counts'!L318/SUM('Working counts'!L$315:L$320)</f>
        <v>0.020142547257514718</v>
      </c>
      <c r="M292" s="31">
        <f>'Working counts'!M318/SUM('Working counts'!M$315:M$320)</f>
        <v>0.012211577384968291</v>
      </c>
      <c r="N292" s="31">
        <f>'Working counts'!N318/SUM('Working counts'!N$315:N$320)</f>
        <v>0.015056216392374124</v>
      </c>
      <c r="O292" s="31">
        <f>'Working counts'!O318/SUM('Working counts'!O$315:O$320)</f>
        <v>0.013723320158102768</v>
      </c>
      <c r="P292" s="31">
        <f>'Working counts'!P318/SUM('Working counts'!P$315:P$320)</f>
        <v>0.009949950549944556</v>
      </c>
      <c r="Q292" s="31">
        <f>'Working counts'!Q318/SUM('Working counts'!Q$315:Q$320)</f>
        <v>0.010183299389002037</v>
      </c>
      <c r="R292" s="31">
        <f>'Working counts'!R318/SUM('Working counts'!R$315:R$320)</f>
        <v>0.01179348848880246</v>
      </c>
      <c r="S292" s="31">
        <f>'Working counts'!S318/SUM('Working counts'!S$315:S$320)</f>
        <v>0.01044694506000518</v>
      </c>
      <c r="T292" s="31">
        <f>'Working counts'!T318/SUM('Working counts'!T$315:T$320)</f>
        <v>0.00973893534570671</v>
      </c>
      <c r="U292" s="31">
        <f>'Working counts'!U318/SUM('Working counts'!U$315:U$320)</f>
        <v>0.007326194989497413</v>
      </c>
      <c r="V292" s="31">
        <f>'Working counts'!V318/SUM('Working counts'!V$315:V$320)</f>
        <v>0.012450031305688003</v>
      </c>
      <c r="W292" t="s">
        <v>333</v>
      </c>
      <c r="X292" s="59">
        <f t="shared" si="25"/>
        <v>-0.007692515951826715</v>
      </c>
    </row>
    <row r="293" spans="1:24" ht="12.75">
      <c r="A293" s="18" t="s">
        <v>104</v>
      </c>
      <c r="B293" s="14" t="s">
        <v>242</v>
      </c>
      <c r="C293" s="14" t="s">
        <v>242</v>
      </c>
      <c r="D293" s="14" t="s">
        <v>242</v>
      </c>
      <c r="E293" s="14" t="s">
        <v>242</v>
      </c>
      <c r="F293" s="14" t="s">
        <v>242</v>
      </c>
      <c r="G293" s="14" t="s">
        <v>242</v>
      </c>
      <c r="H293" s="14" t="s">
        <v>242</v>
      </c>
      <c r="I293" s="14" t="s">
        <v>242</v>
      </c>
      <c r="J293" s="14" t="s">
        <v>242</v>
      </c>
      <c r="K293" s="14" t="s">
        <v>242</v>
      </c>
      <c r="L293" s="31">
        <f>'Working counts'!L319/SUM('Working counts'!L$315:L$320)</f>
        <v>0.010432806528251213</v>
      </c>
      <c r="M293" s="31">
        <f>'Working counts'!M319/SUM('Working counts'!M$315:M$320)</f>
        <v>0.007691269734178923</v>
      </c>
      <c r="N293" s="31">
        <f>'Working counts'!N319/SUM('Working counts'!N$315:N$320)</f>
        <v>0.007430340557275541</v>
      </c>
      <c r="O293" s="31">
        <f>'Working counts'!O319/SUM('Working counts'!O$315:O$320)</f>
        <v>0.008632411067193676</v>
      </c>
      <c r="P293" s="31">
        <f>'Working counts'!P319/SUM('Working counts'!P$315:P$320)</f>
        <v>0.009140767824497258</v>
      </c>
      <c r="Q293" s="31">
        <f>'Working counts'!Q319/SUM('Working counts'!Q$315:Q$320)</f>
        <v>0.01612814443771674</v>
      </c>
      <c r="R293" s="31">
        <f>'Working counts'!R319/SUM('Working counts'!R$315:R$320)</f>
        <v>0.010287936766827677</v>
      </c>
      <c r="S293" s="31">
        <f>'Working counts'!S319/SUM('Working counts'!S$315:S$320)</f>
        <v>0.008691397818516706</v>
      </c>
      <c r="T293" s="31">
        <f>'Working counts'!T319/SUM('Working counts'!T$315:T$320)</f>
        <v>0.009101570467060983</v>
      </c>
      <c r="U293" s="31">
        <f>'Working counts'!U319/SUM('Working counts'!U$315:U$320)</f>
        <v>0.010502587222706082</v>
      </c>
      <c r="V293" s="31">
        <f>'Working counts'!V319/SUM('Working counts'!V$315:V$320)</f>
        <v>0.012474112604151617</v>
      </c>
      <c r="W293" t="s">
        <v>333</v>
      </c>
      <c r="X293" s="59">
        <f t="shared" si="25"/>
        <v>0.0020413060759004037</v>
      </c>
    </row>
    <row r="294" spans="1:24" ht="12.75">
      <c r="A294" s="18" t="s">
        <v>52</v>
      </c>
      <c r="B294" s="14" t="s">
        <v>242</v>
      </c>
      <c r="C294" s="14" t="s">
        <v>242</v>
      </c>
      <c r="D294" s="14" t="s">
        <v>242</v>
      </c>
      <c r="E294" s="14" t="s">
        <v>242</v>
      </c>
      <c r="F294" s="14" t="s">
        <v>242</v>
      </c>
      <c r="G294" s="14" t="s">
        <v>242</v>
      </c>
      <c r="H294" s="14" t="s">
        <v>242</v>
      </c>
      <c r="I294" s="14" t="s">
        <v>242</v>
      </c>
      <c r="J294" s="14" t="s">
        <v>242</v>
      </c>
      <c r="K294" s="14" t="s">
        <v>242</v>
      </c>
      <c r="L294" s="31">
        <f>'Working counts'!L320/SUM('Working counts'!L$315:L$320)</f>
        <v>0.018076644974692697</v>
      </c>
      <c r="M294" s="31">
        <f>'Working counts'!M320/SUM('Working counts'!M$315:M$320)</f>
        <v>0.021117258129807043</v>
      </c>
      <c r="N294" s="31">
        <f>'Working counts'!N320/SUM('Working counts'!N$315:N$320)</f>
        <v>0.0226495030145022</v>
      </c>
      <c r="O294" s="31">
        <f>'Working counts'!O320/SUM('Working counts'!O$315:O$320)</f>
        <v>0.02333596837944664</v>
      </c>
      <c r="P294" s="31">
        <f>'Working counts'!P320/SUM('Working counts'!P$315:P$320)</f>
        <v>0.024994755297149878</v>
      </c>
      <c r="Q294" s="31">
        <f>'Working counts'!Q320/SUM('Working counts'!Q$315:Q$320)</f>
        <v>0.024852754995321188</v>
      </c>
      <c r="R294" s="31">
        <f>'Working counts'!R320/SUM('Working counts'!R$315:R$320)</f>
        <v>0.011824854149676933</v>
      </c>
      <c r="S294" s="31">
        <f>'Working counts'!S320/SUM('Working counts'!S$315:S$320)</f>
        <v>0.007943131781160963</v>
      </c>
      <c r="T294" s="31">
        <f>'Working counts'!T320/SUM('Working counts'!T$315:T$320)</f>
        <v>0.008362227207831939</v>
      </c>
      <c r="U294" s="31">
        <f>'Working counts'!U320/SUM('Working counts'!U$315:U$320)</f>
        <v>0.008017828782212204</v>
      </c>
      <c r="V294" s="31">
        <f>'Working counts'!V320/SUM('Working counts'!V$315:V$320)</f>
        <v>0.011992486634879352</v>
      </c>
      <c r="W294" t="s">
        <v>333</v>
      </c>
      <c r="X294" s="59">
        <f t="shared" si="25"/>
        <v>-0.006084158339813345</v>
      </c>
    </row>
    <row r="295" spans="1:22" ht="12.75">
      <c r="A295" s="18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31">
        <f>SUM(L289:L294)</f>
        <v>1</v>
      </c>
      <c r="M295" s="31">
        <f>SUM(M289:M294)</f>
        <v>0.9999999999999999</v>
      </c>
      <c r="N295" s="31">
        <f>SUM(N289:N294)</f>
        <v>1</v>
      </c>
      <c r="O295" s="31">
        <f aca="true" t="shared" si="26" ref="O295:V295">SUM(O289:O294)</f>
        <v>1</v>
      </c>
      <c r="P295" s="31">
        <f t="shared" si="26"/>
        <v>1</v>
      </c>
      <c r="Q295" s="31">
        <f t="shared" si="26"/>
        <v>1</v>
      </c>
      <c r="R295" s="31">
        <f t="shared" si="26"/>
        <v>1</v>
      </c>
      <c r="S295" s="31">
        <f t="shared" si="26"/>
        <v>1</v>
      </c>
      <c r="T295" s="31">
        <f t="shared" si="26"/>
        <v>0.9999999999999999</v>
      </c>
      <c r="U295" s="31">
        <f t="shared" si="26"/>
        <v>1</v>
      </c>
      <c r="V295" s="31">
        <f t="shared" si="26"/>
        <v>1</v>
      </c>
    </row>
    <row r="296" spans="18:22" ht="12.75">
      <c r="R296" s="10"/>
      <c r="S296" s="10"/>
      <c r="T296" s="10"/>
      <c r="U296" s="10"/>
      <c r="V296" s="10"/>
    </row>
    <row r="297" spans="1:22" ht="12.75">
      <c r="A297" s="18" t="s">
        <v>106</v>
      </c>
      <c r="R297" s="10"/>
      <c r="S297" s="10"/>
      <c r="T297" s="10"/>
      <c r="U297" s="10"/>
      <c r="V297" s="10"/>
    </row>
    <row r="298" spans="1:40" ht="12.75">
      <c r="A298" s="18" t="s">
        <v>142</v>
      </c>
      <c r="B298" s="14" t="s">
        <v>242</v>
      </c>
      <c r="C298" s="31">
        <f>'Working counts'!C327/('Working counts'!C$291-'Working counts'!C$329)</f>
        <v>0.3110358835477319</v>
      </c>
      <c r="D298" s="31">
        <f>'Working counts'!D327/('Working counts'!D$291-'Working counts'!D$329)</f>
        <v>0.40589698414343456</v>
      </c>
      <c r="E298" s="31">
        <f>'Working counts'!E327/('Working counts'!E$291-'Working counts'!E$329)</f>
        <v>0.39395306859205775</v>
      </c>
      <c r="F298" s="31">
        <f>'Working counts'!F327/('Working counts'!F$291-'Working counts'!F$329)</f>
        <v>0.32589859458563075</v>
      </c>
      <c r="G298" s="14" t="s">
        <v>242</v>
      </c>
      <c r="H298" s="14" t="s">
        <v>242</v>
      </c>
      <c r="I298" s="31">
        <f>'Working counts'!I327/('Working counts'!I$291)</f>
        <v>0.2953949555005724</v>
      </c>
      <c r="J298" s="31">
        <f>'Working counts'!J327/('Working counts'!J$291)</f>
        <v>0.28111903141455025</v>
      </c>
      <c r="K298" s="31">
        <f>'Working counts'!K327/('Working counts'!K$291)</f>
        <v>0.29587866560991427</v>
      </c>
      <c r="L298" s="31">
        <f>'Working counts'!L327/('Working counts'!L$291-'Working counts'!L$329)</f>
        <v>0.27057074526533514</v>
      </c>
      <c r="M298" s="31">
        <f>'Working counts'!M327/('Working counts'!M$291-'Working counts'!M$329)</f>
        <v>0.27110472541507025</v>
      </c>
      <c r="N298" s="31">
        <f>'Working counts'!N327/('Working counts'!N$291-'Working counts'!N$329)</f>
        <v>0.25889328063241107</v>
      </c>
      <c r="O298" s="31">
        <f>'Working counts'!O327/('Working counts'!O$291-'Working counts'!O$329)</f>
        <v>0.24802150216514857</v>
      </c>
      <c r="P298" s="31">
        <f>'Working counts'!P327/('Working counts'!P$291-'Working counts'!P$329)</f>
        <v>0.2378825804983502</v>
      </c>
      <c r="Q298" s="31">
        <f>'Working counts'!Q327/('Working counts'!Q$291-'Working counts'!Q$329)</f>
        <v>0.22082926148261903</v>
      </c>
      <c r="R298" s="31">
        <f>'Working counts'!R327/('Working counts'!R$306-'Working counts'!R$329)</f>
        <v>0.22356119475473532</v>
      </c>
      <c r="S298" s="31">
        <f>'Working counts'!S327/('Working counts'!S$306-'Working counts'!S$329)</f>
        <v>0.21299810246679318</v>
      </c>
      <c r="T298" s="31">
        <f>'Working counts'!T327/('Working counts'!T$306-'Working counts'!T$329)</f>
        <v>0.21298977748075543</v>
      </c>
      <c r="U298" s="31">
        <f>'Working counts'!U327/('Working counts'!U$306-'Working counts'!U$329)</f>
        <v>0.19182030512349052</v>
      </c>
      <c r="V298" s="31">
        <f>'Working counts'!V327/('Working counts'!V$306-'Working counts'!V$329)</f>
        <v>0.16043956043956045</v>
      </c>
      <c r="W298" t="s">
        <v>333</v>
      </c>
      <c r="X298" s="59">
        <f>V298-C298</f>
        <v>-0.15059632310817142</v>
      </c>
      <c r="AN298" s="9"/>
    </row>
    <row r="299" spans="1:40" ht="12.75">
      <c r="A299" s="18" t="s">
        <v>250</v>
      </c>
      <c r="B299" s="14" t="s">
        <v>242</v>
      </c>
      <c r="C299" s="31">
        <f>'Working counts'!C328/('Working counts'!C$291-'Working counts'!C$329)</f>
        <v>0.6889641164522681</v>
      </c>
      <c r="D299" s="31">
        <f>'Working counts'!D328/('Working counts'!D$291-'Working counts'!D$329)</f>
        <v>0.5940511970152348</v>
      </c>
      <c r="E299" s="31">
        <f>'Working counts'!E328/('Working counts'!E$291-'Working counts'!E$329)</f>
        <v>0.6060469314079422</v>
      </c>
      <c r="F299" s="31">
        <f>'Working counts'!F328/('Working counts'!F$291-'Working counts'!F$329)</f>
        <v>0.6741014054143692</v>
      </c>
      <c r="G299" s="14" t="s">
        <v>242</v>
      </c>
      <c r="H299" s="14" t="s">
        <v>242</v>
      </c>
      <c r="I299" s="31">
        <f>'Working counts'!I328/('Working counts'!I$291)</f>
        <v>0.7046050444994276</v>
      </c>
      <c r="J299" s="31">
        <f>'Working counts'!J328/('Working counts'!J$291)</f>
        <v>0.7188809685854497</v>
      </c>
      <c r="K299" s="31">
        <f>'Working counts'!K328/('Working counts'!K$291)</f>
        <v>0.7041213343900857</v>
      </c>
      <c r="L299" s="31">
        <f>'Working counts'!L328/('Working counts'!L$291-'Working counts'!L$329)</f>
        <v>0.7294292547346649</v>
      </c>
      <c r="M299" s="31">
        <f>'Working counts'!M328/('Working counts'!M$291-'Working counts'!M$329)</f>
        <v>0.7288633461047254</v>
      </c>
      <c r="N299" s="31">
        <f>'Working counts'!N328/('Working counts'!N$291-'Working counts'!N$329)</f>
        <v>0.741106719367589</v>
      </c>
      <c r="O299" s="31">
        <f>'Working counts'!O328/('Working counts'!O$291-'Working counts'!O$329)</f>
        <v>0.7519784978348514</v>
      </c>
      <c r="P299" s="31">
        <f>'Working counts'!P328/('Working counts'!P$291-'Working counts'!P$329)</f>
        <v>0.7621174195016498</v>
      </c>
      <c r="Q299" s="31">
        <f>'Working counts'!Q328/('Working counts'!Q$291-'Working counts'!Q$329)</f>
        <v>0.779170738517381</v>
      </c>
      <c r="R299" s="31">
        <f>'Working counts'!R328/('Working counts'!R$306-'Working counts'!R$329)</f>
        <v>0.7764388052452647</v>
      </c>
      <c r="S299" s="31">
        <f>'Working counts'!S328/('Working counts'!S$306-'Working counts'!S$329)</f>
        <v>0.7870298024333073</v>
      </c>
      <c r="T299" s="31">
        <f>'Working counts'!T328/('Working counts'!T$306-'Working counts'!T$329)</f>
        <v>0.7870102225192446</v>
      </c>
      <c r="U299" s="31">
        <f>'Working counts'!U328/('Working counts'!U$306-'Working counts'!U$329)</f>
        <v>0.8082045420662923</v>
      </c>
      <c r="V299" s="31">
        <f>'Working counts'!V328/('Working counts'!V$306-'Working counts'!V$329)</f>
        <v>0.8395604395604396</v>
      </c>
      <c r="W299" t="s">
        <v>333</v>
      </c>
      <c r="X299" s="59">
        <f>V299-C299</f>
        <v>0.1505963231081715</v>
      </c>
      <c r="AN299" s="9"/>
    </row>
    <row r="300" spans="2:22" ht="12.75">
      <c r="B300" s="10"/>
      <c r="C300" s="28">
        <f>SUM(C298:C299)</f>
        <v>1</v>
      </c>
      <c r="D300" s="28">
        <f aca="true" t="shared" si="27" ref="D300:V300">SUM(D298:D299)</f>
        <v>0.9999481811586693</v>
      </c>
      <c r="E300" s="28">
        <f t="shared" si="27"/>
        <v>1</v>
      </c>
      <c r="F300" s="28">
        <f t="shared" si="27"/>
        <v>1</v>
      </c>
      <c r="G300" s="28">
        <f t="shared" si="27"/>
        <v>0</v>
      </c>
      <c r="H300" s="28">
        <f t="shared" si="27"/>
        <v>0</v>
      </c>
      <c r="I300" s="28">
        <f t="shared" si="27"/>
        <v>1</v>
      </c>
      <c r="J300" s="28">
        <f t="shared" si="27"/>
        <v>1</v>
      </c>
      <c r="K300" s="28">
        <f t="shared" si="27"/>
        <v>1</v>
      </c>
      <c r="L300" s="28">
        <f t="shared" si="27"/>
        <v>1</v>
      </c>
      <c r="M300" s="28">
        <f t="shared" si="27"/>
        <v>0.9999680715197956</v>
      </c>
      <c r="N300" s="28">
        <f t="shared" si="27"/>
        <v>1</v>
      </c>
      <c r="O300" s="28">
        <f t="shared" si="27"/>
        <v>1</v>
      </c>
      <c r="P300" s="28">
        <f t="shared" si="27"/>
        <v>1</v>
      </c>
      <c r="Q300" s="28">
        <f t="shared" si="27"/>
        <v>1</v>
      </c>
      <c r="R300" s="28">
        <f t="shared" si="27"/>
        <v>1</v>
      </c>
      <c r="S300" s="28">
        <f t="shared" si="27"/>
        <v>1.0000279049001004</v>
      </c>
      <c r="T300" s="28">
        <f t="shared" si="27"/>
        <v>1</v>
      </c>
      <c r="U300" s="28">
        <f t="shared" si="27"/>
        <v>1.0000248471897828</v>
      </c>
      <c r="V300" s="28">
        <f t="shared" si="27"/>
        <v>1</v>
      </c>
    </row>
    <row r="301" spans="1:22" ht="12.75">
      <c r="A301" s="19" t="s">
        <v>114</v>
      </c>
      <c r="R301" s="10"/>
      <c r="S301" s="10"/>
      <c r="T301" s="10"/>
      <c r="U301" s="10"/>
      <c r="V301" s="10"/>
    </row>
    <row r="302" spans="18:22" ht="12.75">
      <c r="R302" s="10"/>
      <c r="S302" s="10"/>
      <c r="T302" s="10"/>
      <c r="U302" s="10"/>
      <c r="V302" s="10"/>
    </row>
    <row r="303" spans="1:40" ht="12.75">
      <c r="A303" s="2" t="s">
        <v>352</v>
      </c>
      <c r="R303" s="10"/>
      <c r="S303" s="10"/>
      <c r="T303" s="10"/>
      <c r="U303" s="10"/>
      <c r="V303" s="10"/>
      <c r="AM303" s="9"/>
      <c r="AN303" s="9"/>
    </row>
    <row r="304" spans="1:40" ht="12.75">
      <c r="A304" s="2" t="s">
        <v>47</v>
      </c>
      <c r="B304" s="31">
        <f>'Working counts'!B334/'Working counts'!B$21</f>
        <v>0.8161183642569695</v>
      </c>
      <c r="C304" s="31">
        <f>'Working counts'!C334/'Working counts'!C$21</f>
        <v>0.8279788103207443</v>
      </c>
      <c r="D304" s="31">
        <f>'Working counts'!D334/'Working counts'!D$21</f>
        <v>0.8314958802367414</v>
      </c>
      <c r="E304" s="31">
        <f>'Working counts'!E334/'Working counts'!E$21</f>
        <v>0.8318876393161531</v>
      </c>
      <c r="F304" s="31">
        <f>'Working counts'!F334/'Working counts'!F$21</f>
        <v>0.8344937806630656</v>
      </c>
      <c r="G304" s="31">
        <f>'Working counts'!G334/'Working counts'!G$21</f>
        <v>0.8386874796276846</v>
      </c>
      <c r="H304" s="31">
        <f>'Working counts'!H334/'Working counts'!H$21</f>
        <v>0.8388622230629182</v>
      </c>
      <c r="I304" s="31">
        <f>'Working counts'!I334/'Working counts'!I$21</f>
        <v>0.8383823119129545</v>
      </c>
      <c r="J304" s="31">
        <f>'Working counts'!J334/'Working counts'!J$21</f>
        <v>0.8404977123088941</v>
      </c>
      <c r="K304" s="31">
        <f>'Working counts'!K334/'Working counts'!K$21</f>
        <v>0.8438287428415598</v>
      </c>
      <c r="L304" s="31">
        <f>'Working counts'!L334/'Working counts'!L$21</f>
        <v>0.8528253522000228</v>
      </c>
      <c r="M304" s="31">
        <f>'Working counts'!M334/'Working counts'!M$21</f>
        <v>0.8573360717327055</v>
      </c>
      <c r="N304" s="31">
        <f>'Working counts'!N334/'Working counts'!N$21</f>
        <v>0.8600408639813193</v>
      </c>
      <c r="O304" s="31">
        <f>'Working counts'!O334/'Working counts'!O$21</f>
        <v>0.8565734705096992</v>
      </c>
      <c r="P304" s="31">
        <f>'Working counts'!P334/'Working counts'!P$21</f>
        <v>0.8565135913139236</v>
      </c>
      <c r="Q304" s="31">
        <f>'Working counts'!Q334/'Working counts'!Q$21</f>
        <v>0.8678420721220267</v>
      </c>
      <c r="R304" s="31">
        <f>'Working counts'!R334/'Working counts'!R$21</f>
        <v>0.884953888140964</v>
      </c>
      <c r="S304" s="31">
        <f>'Working counts'!S334/'Working counts'!S$21</f>
        <v>0.8744701314430235</v>
      </c>
      <c r="T304" s="31">
        <f>'Working counts'!T334/'Working counts'!T$21</f>
        <v>0.8711542770471742</v>
      </c>
      <c r="U304" s="31">
        <f>'Working counts'!U334/'Working counts'!U$21</f>
        <v>0.8730494578153928</v>
      </c>
      <c r="V304" s="31">
        <f>'Working counts'!V334/'Working counts'!V$21</f>
        <v>0.8758835827829954</v>
      </c>
      <c r="W304" t="s">
        <v>333</v>
      </c>
      <c r="X304" s="59">
        <f>V304-B304</f>
        <v>0.0597652185260259</v>
      </c>
      <c r="AM304" s="9"/>
      <c r="AN304" s="9"/>
    </row>
    <row r="305" spans="1:40" ht="12.75">
      <c r="A305" s="2" t="s">
        <v>48</v>
      </c>
      <c r="B305" s="31">
        <f>'Working counts'!B335/'Working counts'!B$21</f>
        <v>0.16260475741436786</v>
      </c>
      <c r="C305" s="31">
        <f>'Working counts'!C335/'Working counts'!C$21</f>
        <v>0.15296629154257702</v>
      </c>
      <c r="D305" s="31">
        <f>'Working counts'!D335/'Working counts'!D$21</f>
        <v>0.14966539012030483</v>
      </c>
      <c r="E305" s="31">
        <f>'Working counts'!E335/'Working counts'!E$21</f>
        <v>0.1497175853547834</v>
      </c>
      <c r="F305" s="31">
        <f>'Working counts'!F335/'Working counts'!F$21</f>
        <v>0.14796322909955895</v>
      </c>
      <c r="G305" s="31">
        <f>'Working counts'!G335/'Working counts'!G$21</f>
        <v>0.1446887110209699</v>
      </c>
      <c r="H305" s="31">
        <f>'Working counts'!H335/'Working counts'!H$21</f>
        <v>0.14510675525500674</v>
      </c>
      <c r="I305" s="31">
        <f>'Working counts'!I335/'Working counts'!I$21</f>
        <v>0.1460755138100995</v>
      </c>
      <c r="J305" s="31">
        <f>'Working counts'!J335/'Working counts'!J$21</f>
        <v>0.14463787523713872</v>
      </c>
      <c r="K305" s="31">
        <f>'Working counts'!K335/'Working counts'!K$21</f>
        <v>0.14227433869648215</v>
      </c>
      <c r="L305" s="31">
        <f>'Working counts'!L335/'Working counts'!L$21</f>
        <v>0.13672492738943037</v>
      </c>
      <c r="M305" s="31">
        <f>'Working counts'!M335/'Working counts'!M$21</f>
        <v>0.13316635776185945</v>
      </c>
      <c r="N305" s="31">
        <f>'Working counts'!N335/'Working counts'!N$21</f>
        <v>0.13048258416034247</v>
      </c>
      <c r="O305" s="31">
        <f>'Working counts'!O335/'Working counts'!O$21</f>
        <v>0.12674742794313987</v>
      </c>
      <c r="P305" s="31">
        <f>'Working counts'!P335/'Working counts'!P$21</f>
        <v>0.12503622418423138</v>
      </c>
      <c r="Q305" s="31">
        <f>'Working counts'!Q335/'Working counts'!Q$21</f>
        <v>0.12509985620706182</v>
      </c>
      <c r="R305" s="31">
        <f>'Working counts'!R335/'Working counts'!R$21</f>
        <v>0.1096610526508595</v>
      </c>
      <c r="S305" s="31">
        <f>'Working counts'!S335/'Working counts'!S$21</f>
        <v>0.1200085491397428</v>
      </c>
      <c r="T305" s="31">
        <f>'Working counts'!T335/'Working counts'!T$21</f>
        <v>0.12379565314810666</v>
      </c>
      <c r="U305" s="31">
        <f>'Working counts'!U335/'Working counts'!U$21</f>
        <v>0.12211311225055668</v>
      </c>
      <c r="V305" s="31">
        <f>'Working counts'!V335/'Working counts'!V$21</f>
        <v>0.11913018949324661</v>
      </c>
      <c r="W305" t="s">
        <v>333</v>
      </c>
      <c r="X305" s="59">
        <f>V305-B305</f>
        <v>-0.043474567921121254</v>
      </c>
      <c r="AM305" s="9"/>
      <c r="AN305" s="9"/>
    </row>
    <row r="306" spans="1:40" ht="12.75">
      <c r="A306" s="5" t="s">
        <v>49</v>
      </c>
      <c r="B306" s="31">
        <f>'Working counts'!B336/'Working counts'!B$21</f>
        <v>0.02127687832866269</v>
      </c>
      <c r="C306" s="31">
        <f>'Working counts'!C336/'Working counts'!C$21</f>
        <v>0.019068075797907386</v>
      </c>
      <c r="D306" s="31">
        <f>'Working counts'!D336/'Working counts'!D$21</f>
        <v>0.018838729642953852</v>
      </c>
      <c r="E306" s="31">
        <f>'Working counts'!E336/'Working counts'!E$21</f>
        <v>0.018382167532402037</v>
      </c>
      <c r="F306" s="31">
        <f>'Working counts'!F336/'Working counts'!F$21</f>
        <v>0.01754299023737549</v>
      </c>
      <c r="G306" s="31">
        <f>'Working counts'!G336/'Working counts'!G$21</f>
        <v>0.016635881834534544</v>
      </c>
      <c r="H306" s="31">
        <f>'Working counts'!H336/'Working counts'!H$21</f>
        <v>0.01603102168207505</v>
      </c>
      <c r="I306" s="31">
        <f>'Working counts'!I336/'Working counts'!I$21</f>
        <v>0.015553798939830745</v>
      </c>
      <c r="J306" s="31">
        <f>'Working counts'!J336/'Working counts'!J$21</f>
        <v>0.01486441245396719</v>
      </c>
      <c r="K306" s="31">
        <f>'Working counts'!K336/'Working counts'!K$21</f>
        <v>0.013896918461958004</v>
      </c>
      <c r="L306" s="31">
        <f>'Working counts'!L336/'Working counts'!L$21</f>
        <v>0.010439384386401927</v>
      </c>
      <c r="M306" s="31">
        <f>'Working counts'!M336/'Working counts'!M$21</f>
        <v>0.009497570505435055</v>
      </c>
      <c r="N306" s="31">
        <f>'Working counts'!N336/'Working counts'!N$21</f>
        <v>0.009476551858338199</v>
      </c>
      <c r="O306" s="31">
        <f>'Working counts'!O336/'Working counts'!O$21</f>
        <v>0.01667910154716092</v>
      </c>
      <c r="P306" s="31">
        <f>'Working counts'!P336/'Working counts'!P$21</f>
        <v>0.01845018450184502</v>
      </c>
      <c r="Q306" s="31">
        <f>'Working counts'!Q336/'Working counts'!Q$21</f>
        <v>0.0070674699021644125</v>
      </c>
      <c r="R306" s="31">
        <f>'Working counts'!R336/'Working counts'!R$21</f>
        <v>0.005385059208176498</v>
      </c>
      <c r="S306" s="31">
        <f>'Working counts'!S336/'Working counts'!S$21</f>
        <v>0.005521319417233641</v>
      </c>
      <c r="T306" s="31">
        <f>'Working counts'!T336/'Working counts'!T$21</f>
        <v>0.005050069804719144</v>
      </c>
      <c r="U306" s="31">
        <f>'Working counts'!U336/'Working counts'!U$21</f>
        <v>0.004837429934050558</v>
      </c>
      <c r="V306" s="31">
        <f>'Working counts'!V336/'Working counts'!V$21</f>
        <v>0.004986227723758006</v>
      </c>
      <c r="W306" t="s">
        <v>333</v>
      </c>
      <c r="X306" s="59">
        <f>V306-B306</f>
        <v>-0.016290650604904686</v>
      </c>
      <c r="AM306" s="9"/>
      <c r="AN306" s="9"/>
    </row>
    <row r="307" spans="1:40" ht="12.75">
      <c r="A307" s="5"/>
      <c r="B307" s="31">
        <f>SUM(B304:B306)</f>
        <v>1</v>
      </c>
      <c r="C307" s="31">
        <f aca="true" t="shared" si="28" ref="C307:V307">SUM(C304:C306)</f>
        <v>1.0000131776612287</v>
      </c>
      <c r="D307" s="31">
        <f t="shared" si="28"/>
        <v>1</v>
      </c>
      <c r="E307" s="31">
        <f t="shared" si="28"/>
        <v>0.9999873922033385</v>
      </c>
      <c r="F307" s="31">
        <f t="shared" si="28"/>
        <v>1</v>
      </c>
      <c r="G307" s="31">
        <f t="shared" si="28"/>
        <v>1.0000120724831891</v>
      </c>
      <c r="H307" s="31">
        <f t="shared" si="28"/>
        <v>1</v>
      </c>
      <c r="I307" s="31">
        <f t="shared" si="28"/>
        <v>1.0000116246628847</v>
      </c>
      <c r="J307" s="31">
        <f t="shared" si="28"/>
        <v>1</v>
      </c>
      <c r="K307" s="31">
        <f t="shared" si="28"/>
        <v>1</v>
      </c>
      <c r="L307" s="31">
        <f t="shared" si="28"/>
        <v>0.999989663975855</v>
      </c>
      <c r="M307" s="31">
        <f t="shared" si="28"/>
        <v>1</v>
      </c>
      <c r="N307" s="31">
        <f t="shared" si="28"/>
        <v>1</v>
      </c>
      <c r="O307" s="31">
        <f t="shared" si="28"/>
        <v>1</v>
      </c>
      <c r="P307" s="31">
        <f t="shared" si="28"/>
        <v>1</v>
      </c>
      <c r="Q307" s="31">
        <f t="shared" si="28"/>
        <v>1.000009398231253</v>
      </c>
      <c r="R307" s="31">
        <f t="shared" si="28"/>
        <v>0.9999999999999999</v>
      </c>
      <c r="S307" s="31">
        <f t="shared" si="28"/>
        <v>1</v>
      </c>
      <c r="T307" s="31">
        <f t="shared" si="28"/>
        <v>1</v>
      </c>
      <c r="U307" s="31">
        <f t="shared" si="28"/>
        <v>1</v>
      </c>
      <c r="V307" s="31">
        <f t="shared" si="28"/>
        <v>1</v>
      </c>
      <c r="AM307" s="9"/>
      <c r="AN307" s="9"/>
    </row>
    <row r="308" spans="1:40" ht="12.75">
      <c r="A308" s="5" t="s">
        <v>353</v>
      </c>
      <c r="R308" s="10"/>
      <c r="S308" s="10"/>
      <c r="T308" s="10"/>
      <c r="U308" s="10"/>
      <c r="V308" s="10"/>
      <c r="AM308" s="9"/>
      <c r="AN308" s="9"/>
    </row>
    <row r="309" spans="1:40" ht="12.75">
      <c r="A309" s="2" t="s">
        <v>50</v>
      </c>
      <c r="B309" s="31">
        <f>'Working counts'!B339/'Working counts'!B$21</f>
        <v>0.712855112693079</v>
      </c>
      <c r="C309" s="31">
        <f>'Working counts'!C339/'Working counts'!C$21</f>
        <v>0.7233745354874417</v>
      </c>
      <c r="D309" s="31">
        <f>'Working counts'!D339/'Working counts'!D$21</f>
        <v>0.7283277242659858</v>
      </c>
      <c r="E309" s="31">
        <f>'Working counts'!E339/'Working counts'!E$21</f>
        <v>0.7289701951686923</v>
      </c>
      <c r="F309" s="31">
        <f>'Working counts'!F339/'Working counts'!F$21</f>
        <v>0.7312800436096932</v>
      </c>
      <c r="G309" s="31">
        <f>'Working counts'!G339/'Working counts'!G$21</f>
        <v>0.7340673403112287</v>
      </c>
      <c r="H309" s="31">
        <f>'Working counts'!H339/'Working counts'!H$21</f>
        <v>0.7337266214267136</v>
      </c>
      <c r="I309" s="31">
        <f>'Working counts'!I339/'Working counts'!I$21</f>
        <v>0.7336673486468892</v>
      </c>
      <c r="J309" s="31">
        <f>'Working counts'!J339/'Working counts'!J$21</f>
        <v>0.7364356656623144</v>
      </c>
      <c r="K309" s="31">
        <f>'Working counts'!K339/'Working counts'!K$21</f>
        <v>0.7428633760567221</v>
      </c>
      <c r="L309" s="31">
        <f>'Working counts'!L339/'Working counts'!L$21</f>
        <v>0.7569070481348644</v>
      </c>
      <c r="M309" s="31">
        <f>'Working counts'!M339/'Working counts'!M$21</f>
        <v>0.762961478735661</v>
      </c>
      <c r="N309" s="31">
        <f>'Working counts'!N339/'Working counts'!N$21</f>
        <v>0.7666958552247519</v>
      </c>
      <c r="O309" s="31">
        <f>'Working counts'!O339/'Working counts'!O$21</f>
        <v>0.7651378308332679</v>
      </c>
      <c r="P309" s="31">
        <f>'Working counts'!P339/'Working counts'!P$21</f>
        <v>0.7689573230810842</v>
      </c>
      <c r="Q309" s="31">
        <f>'Working counts'!Q339/'Working counts'!Q$21</f>
        <v>0.7714632106237606</v>
      </c>
      <c r="R309" s="31">
        <f>'Working counts'!R339/'Working counts'!R$21</f>
        <v>0.7739099376322225</v>
      </c>
      <c r="S309" s="31">
        <f>'Working counts'!S339/'Working counts'!S$21</f>
        <v>0.7776956506251559</v>
      </c>
      <c r="T309" s="31">
        <f>'Working counts'!T339/'Working counts'!T$21</f>
        <v>0.788095279132698</v>
      </c>
      <c r="U309" s="31">
        <f>'Working counts'!U339/'Working counts'!U$21</f>
        <v>0.7925621315405551</v>
      </c>
      <c r="V309" s="31">
        <f>'Working counts'!V339/'Working counts'!V$21</f>
        <v>0.796775959911061</v>
      </c>
      <c r="W309" t="s">
        <v>333</v>
      </c>
      <c r="X309" s="59">
        <f>V309-B309</f>
        <v>0.08392084721798199</v>
      </c>
      <c r="AM309" s="9"/>
      <c r="AN309" s="9"/>
    </row>
    <row r="310" spans="1:40" ht="12.75">
      <c r="A310" s="2" t="s">
        <v>51</v>
      </c>
      <c r="B310" s="31">
        <f>'Working counts'!B340/'Working counts'!B$21</f>
        <v>0.2614851314199195</v>
      </c>
      <c r="C310" s="31">
        <f>'Working counts'!C340/'Working counts'!C$21</f>
        <v>0.2560946683182669</v>
      </c>
      <c r="D310" s="31">
        <f>'Working counts'!D340/'Working counts'!D$21</f>
        <v>0.25394246515286323</v>
      </c>
      <c r="E310" s="31">
        <f>'Working counts'!E340/'Working counts'!E$21</f>
        <v>0.2543875132381865</v>
      </c>
      <c r="F310" s="31">
        <f>'Working counts'!F340/'Working counts'!F$21</f>
        <v>0.2538406263937757</v>
      </c>
      <c r="G310" s="31">
        <f>'Working counts'!G340/'Working counts'!G$21</f>
        <v>0.25266500066398656</v>
      </c>
      <c r="H310" s="31">
        <f>'Working counts'!H340/'Working counts'!H$21</f>
        <v>0.2542974014612347</v>
      </c>
      <c r="I310" s="31">
        <f>'Working counts'!I340/'Working counts'!I$21</f>
        <v>0.25474286245698874</v>
      </c>
      <c r="J310" s="31">
        <f>'Working counts'!J340/'Working counts'!J$21</f>
        <v>0.2527954469367258</v>
      </c>
      <c r="K310" s="31">
        <f>'Working counts'!K340/'Working counts'!K$21</f>
        <v>0.24937005726752112</v>
      </c>
      <c r="L310" s="31">
        <f>'Working counts'!L340/'Working counts'!L$21</f>
        <v>0.237573514971731</v>
      </c>
      <c r="M310" s="31">
        <f>'Working counts'!M340/'Working counts'!M$21</f>
        <v>0.23275058858888945</v>
      </c>
      <c r="N310" s="31">
        <f>'Working counts'!N340/'Working counts'!N$21</f>
        <v>0.2299280015567231</v>
      </c>
      <c r="O310" s="31">
        <f>'Working counts'!O340/'Working counts'!O$21</f>
        <v>0.2321821251865232</v>
      </c>
      <c r="P310" s="31">
        <f>'Working counts'!P340/'Working counts'!P$21</f>
        <v>0.22865671065087614</v>
      </c>
      <c r="Q310" s="31">
        <f>'Working counts'!Q340/'Working counts'!Q$21</f>
        <v>0.226638346663158</v>
      </c>
      <c r="R310" s="31">
        <f>'Working counts'!R340/'Working counts'!R$21</f>
        <v>0.2243683087433946</v>
      </c>
      <c r="S310" s="31">
        <f>'Working counts'!S340/'Working counts'!S$21</f>
        <v>0.22047875182559756</v>
      </c>
      <c r="T310" s="31">
        <f>'Working counts'!T340/'Working counts'!T$21</f>
        <v>0.2103276512866475</v>
      </c>
      <c r="U310" s="31">
        <f>'Working counts'!U340/'Working counts'!U$21</f>
        <v>0.20551825340625027</v>
      </c>
      <c r="V310" s="31">
        <f>'Working counts'!V340/'Working counts'!V$21</f>
        <v>0.20152324693857232</v>
      </c>
      <c r="W310" t="s">
        <v>333</v>
      </c>
      <c r="X310" s="59">
        <f>V310-B310</f>
        <v>-0.059961884481347205</v>
      </c>
      <c r="AM310" s="9"/>
      <c r="AN310" s="9"/>
    </row>
    <row r="311" spans="1:40" ht="12.75">
      <c r="A311" s="2" t="s">
        <v>52</v>
      </c>
      <c r="B311" s="31">
        <f>'Working counts'!B341/'Working counts'!B$21</f>
        <v>0.025659755887001447</v>
      </c>
      <c r="C311" s="31">
        <f>'Working counts'!C341/'Working counts'!C$21</f>
        <v>0.02051761853306275</v>
      </c>
      <c r="D311" s="31">
        <f>'Working counts'!D341/'Working counts'!D$21</f>
        <v>0.017729810581150956</v>
      </c>
      <c r="E311" s="31">
        <f>'Working counts'!E341/'Working counts'!E$21</f>
        <v>0.016642291593121188</v>
      </c>
      <c r="F311" s="31">
        <f>'Working counts'!F341/'Working counts'!F$21</f>
        <v>0.014879329996531047</v>
      </c>
      <c r="G311" s="31">
        <f>'Working counts'!G341/'Working counts'!G$21</f>
        <v>0.013267659024784807</v>
      </c>
      <c r="H311" s="31">
        <f>'Working counts'!H341/'Working counts'!H$21</f>
        <v>0.01197597711205164</v>
      </c>
      <c r="I311" s="31">
        <f>'Working counts'!I341/'Working counts'!I$21</f>
        <v>0.011601413559006788</v>
      </c>
      <c r="J311" s="31">
        <f>'Working counts'!J341/'Working counts'!J$21</f>
        <v>0.010768887400959715</v>
      </c>
      <c r="K311" s="31">
        <f>'Working counts'!K341/'Working counts'!K$21</f>
        <v>0.007766566675756749</v>
      </c>
      <c r="L311" s="31">
        <f>'Working counts'!L341/'Working counts'!L$21</f>
        <v>0.005519436893404583</v>
      </c>
      <c r="M311" s="31">
        <f>'Working counts'!M341/'Working counts'!M$21</f>
        <v>0.004277914141161148</v>
      </c>
      <c r="N311" s="31">
        <f>'Working counts'!N341/'Working counts'!N$21</f>
        <v>0.0033664136991632615</v>
      </c>
      <c r="O311" s="31">
        <f>'Working counts'!O341/'Working counts'!O$21</f>
        <v>0.002680043980208906</v>
      </c>
      <c r="P311" s="31">
        <f>'Working counts'!P341/'Working counts'!P$21</f>
        <v>0.0023859662680396436</v>
      </c>
      <c r="Q311" s="31">
        <f>'Working counts'!Q341/'Working counts'!Q$21</f>
        <v>0.0019078409443342762</v>
      </c>
      <c r="R311" s="31">
        <f>'Working counts'!R341/'Working counts'!R$21</f>
        <v>0.001721753624382962</v>
      </c>
      <c r="S311" s="31">
        <f>'Working counts'!S341/'Working counts'!S$21</f>
        <v>0.0018166921953478431</v>
      </c>
      <c r="T311" s="31">
        <f>'Working counts'!T341/'Working counts'!T$21</f>
        <v>0.001577069580654613</v>
      </c>
      <c r="U311" s="31">
        <f>'Working counts'!U341/'Working counts'!U$21</f>
        <v>0.001919615053194666</v>
      </c>
      <c r="V311" s="31">
        <f>'Working counts'!V341/'Working counts'!V$21</f>
        <v>0.0016924965984136992</v>
      </c>
      <c r="W311" t="s">
        <v>333</v>
      </c>
      <c r="X311" s="59">
        <f>V311-B311</f>
        <v>-0.02396725928858775</v>
      </c>
      <c r="AM311" s="9"/>
      <c r="AN311" s="9"/>
    </row>
    <row r="312" spans="2:22" ht="12.75">
      <c r="B312" s="31">
        <f>SUM(B309:B311)</f>
        <v>0.9999999999999999</v>
      </c>
      <c r="C312" s="31">
        <f aca="true" t="shared" si="29" ref="C312:V312">SUM(C309:C311)</f>
        <v>0.9999868223387713</v>
      </c>
      <c r="D312" s="31">
        <f t="shared" si="29"/>
        <v>1</v>
      </c>
      <c r="E312" s="31">
        <f t="shared" si="29"/>
        <v>0.9999999999999999</v>
      </c>
      <c r="F312" s="31">
        <f t="shared" si="29"/>
        <v>1</v>
      </c>
      <c r="G312" s="31">
        <f t="shared" si="29"/>
        <v>1</v>
      </c>
      <c r="H312" s="31">
        <f t="shared" si="29"/>
        <v>1</v>
      </c>
      <c r="I312" s="31">
        <f t="shared" si="29"/>
        <v>1.0000116246628847</v>
      </c>
      <c r="J312" s="31">
        <f t="shared" si="29"/>
        <v>1</v>
      </c>
      <c r="K312" s="31">
        <f t="shared" si="29"/>
        <v>1</v>
      </c>
      <c r="L312" s="31">
        <f t="shared" si="29"/>
        <v>1</v>
      </c>
      <c r="M312" s="31">
        <f t="shared" si="29"/>
        <v>0.9999899814657116</v>
      </c>
      <c r="N312" s="31">
        <f t="shared" si="29"/>
        <v>0.9999902704806383</v>
      </c>
      <c r="O312" s="31">
        <f t="shared" si="29"/>
        <v>1</v>
      </c>
      <c r="P312" s="31">
        <f t="shared" si="29"/>
        <v>1</v>
      </c>
      <c r="Q312" s="31">
        <f t="shared" si="29"/>
        <v>1.0000093982312528</v>
      </c>
      <c r="R312" s="31">
        <f t="shared" si="29"/>
        <v>1</v>
      </c>
      <c r="S312" s="31">
        <f t="shared" si="29"/>
        <v>0.9999910946461014</v>
      </c>
      <c r="T312" s="31">
        <f t="shared" si="29"/>
        <v>1</v>
      </c>
      <c r="U312" s="31">
        <f t="shared" si="29"/>
        <v>1</v>
      </c>
      <c r="V312" s="31">
        <f t="shared" si="29"/>
        <v>0.999991703448047</v>
      </c>
    </row>
    <row r="313" spans="1:22" ht="12.75">
      <c r="A313" s="2" t="s">
        <v>354</v>
      </c>
      <c r="R313" s="10"/>
      <c r="S313" s="10"/>
      <c r="T313" s="10"/>
      <c r="U313" s="10"/>
      <c r="V313" s="10"/>
    </row>
    <row r="314" spans="1:40" ht="12.75">
      <c r="A314" s="2" t="s">
        <v>43</v>
      </c>
      <c r="B314" s="31">
        <f>'Working counts'!B344/'Working counts'!B$21</f>
        <v>0.9645385361188955</v>
      </c>
      <c r="C314" s="31">
        <f>'Working counts'!C344/'Working counts'!C$21</f>
        <v>0.9698231557863111</v>
      </c>
      <c r="D314" s="31">
        <f>'Working counts'!D344/'Working counts'!D$21</f>
        <v>0.9731280543628228</v>
      </c>
      <c r="E314" s="31">
        <f>'Working counts'!E344/'Working counts'!E$21</f>
        <v>0.9743305259972768</v>
      </c>
      <c r="F314" s="31">
        <f>'Working counts'!F344/'Working counts'!F$21</f>
        <v>0.9758659993062094</v>
      </c>
      <c r="G314" s="31">
        <f>'Working counts'!G344/'Working counts'!G$21</f>
        <v>0.975178974563278</v>
      </c>
      <c r="H314" s="31">
        <f>'Working counts'!H344/'Working counts'!H$21</f>
        <v>0.9783179249521198</v>
      </c>
      <c r="I314" s="31">
        <f>'Working counts'!I344/'Working counts'!I$21</f>
        <v>0.9794824700083697</v>
      </c>
      <c r="J314" s="31">
        <f>'Working counts'!J344/'Working counts'!J$21</f>
        <v>0.9797344046423391</v>
      </c>
      <c r="K314" s="31">
        <f>'Working counts'!K344/'Working counts'!K$21</f>
        <v>0.9853286064903191</v>
      </c>
      <c r="L314" s="31">
        <f>'Working counts'!L344/'Working counts'!L$21</f>
        <v>0.9606610921043112</v>
      </c>
      <c r="M314" s="31">
        <f>'Working counts'!M344/'Working counts'!M$21</f>
        <v>0.9614386615238191</v>
      </c>
      <c r="N314" s="31">
        <f>'Working counts'!N344/'Working counts'!N$21</f>
        <v>0.9642342868262308</v>
      </c>
      <c r="O314" s="31">
        <f>'Working counts'!O344/'Working counts'!O$21</f>
        <v>0.9677511191392445</v>
      </c>
      <c r="P314" s="31">
        <f>'Working counts'!P344/'Working counts'!P$21</f>
        <v>0.9668572863739109</v>
      </c>
      <c r="Q314" s="31">
        <f>'Working counts'!Q344/'Working counts'!Q$21</f>
        <v>0.9695685272031803</v>
      </c>
      <c r="R314" s="31">
        <f>'Working counts'!R344/'Working counts'!R$21</f>
        <v>0.9522579699792107</v>
      </c>
      <c r="S314" s="31">
        <f>'Working counts'!S344/'Working counts'!S$21</f>
        <v>0.9586791579097353</v>
      </c>
      <c r="T314" s="31">
        <f>'Working counts'!T344/'Working counts'!T$21</f>
        <v>0.9595908236956859</v>
      </c>
      <c r="U314" s="31">
        <f>'Working counts'!U344/'Working counts'!U$21</f>
        <v>0.9561218656951993</v>
      </c>
      <c r="V314" s="31">
        <f>'Working counts'!V344/'Working counts'!V$21</f>
        <v>0.9594879368134603</v>
      </c>
      <c r="W314" t="s">
        <v>333</v>
      </c>
      <c r="X314" s="59">
        <f>V314-B314</f>
        <v>-0.005050599305435166</v>
      </c>
      <c r="AM314" s="9"/>
      <c r="AN314" s="9"/>
    </row>
    <row r="315" spans="1:40" ht="12.75">
      <c r="A315" s="5" t="s">
        <v>44</v>
      </c>
      <c r="B315" s="31">
        <f>'Working counts'!B345/'Working counts'!B$21</f>
        <v>0.03547474532825096</v>
      </c>
      <c r="C315" s="31">
        <f>'Working counts'!C345/'Working counts'!C$21</f>
        <v>0.03019002187491764</v>
      </c>
      <c r="D315" s="31">
        <f>'Working counts'!D345/'Working counts'!D$21</f>
        <v>0.026871945637177156</v>
      </c>
      <c r="E315" s="31">
        <f>'Working counts'!E345/'Working counts'!E$21</f>
        <v>0.025669474002723285</v>
      </c>
      <c r="F315" s="31">
        <f>'Working counts'!F345/'Working counts'!F$21</f>
        <v>0.024134000693790573</v>
      </c>
      <c r="G315" s="31">
        <f>'Working counts'!G345/'Working counts'!G$21</f>
        <v>0.02482102543672208</v>
      </c>
      <c r="H315" s="31">
        <f>'Working counts'!H345/'Working counts'!H$21</f>
        <v>0.021682075047880264</v>
      </c>
      <c r="I315" s="31">
        <f>'Working counts'!I345/'Working counts'!I$21</f>
        <v>0.020517529991630243</v>
      </c>
      <c r="J315" s="31">
        <f>'Working counts'!J345/'Working counts'!J$21</f>
        <v>0.020265595357660975</v>
      </c>
      <c r="K315" s="31">
        <f>'Working counts'!K345/'Working counts'!K$21</f>
        <v>0.014671393509680938</v>
      </c>
      <c r="L315" s="31">
        <f>'Working counts'!L345/'Working counts'!L$21</f>
        <v>0.03935957994397875</v>
      </c>
      <c r="M315" s="31">
        <f>'Working counts'!M345/'Working counts'!M$21</f>
        <v>0.038561338476180936</v>
      </c>
      <c r="N315" s="31">
        <f>'Working counts'!N345/'Working counts'!N$21</f>
        <v>0.03576571317376922</v>
      </c>
      <c r="O315" s="31">
        <f>'Working counts'!O345/'Working counts'!O$21</f>
        <v>0.032248880860755516</v>
      </c>
      <c r="P315" s="31">
        <f>'Working counts'!P345/'Working counts'!P$21</f>
        <v>0.03314271362608914</v>
      </c>
      <c r="Q315" s="31">
        <f>'Working counts'!Q345/'Working counts'!Q$21</f>
        <v>0.03043147279681964</v>
      </c>
      <c r="R315" s="31">
        <f>'Working counts'!R345/'Working counts'!R$21</f>
        <v>0.04774203002078926</v>
      </c>
      <c r="S315" s="31">
        <f>'Working counts'!S345/'Working counts'!S$21</f>
        <v>0.04132084209026467</v>
      </c>
      <c r="T315" s="31">
        <f>'Working counts'!T345/'Working counts'!T$21</f>
        <v>0.04041779417087506</v>
      </c>
      <c r="U315" s="31">
        <f>'Working counts'!U345/'Working counts'!U$21</f>
        <v>0.043886665927259386</v>
      </c>
      <c r="V315" s="31">
        <f>'Working counts'!V345/'Working counts'!V$21</f>
        <v>0.040512063186539674</v>
      </c>
      <c r="W315" t="s">
        <v>333</v>
      </c>
      <c r="X315" s="59">
        <f>V315-B315</f>
        <v>0.00503731785828871</v>
      </c>
      <c r="AM315" s="9"/>
      <c r="AN315" s="9"/>
    </row>
    <row r="316" spans="1:40" ht="12.75">
      <c r="A316" s="5"/>
      <c r="B316" s="31">
        <f>SUM(B314:B315)</f>
        <v>1.0000132814471465</v>
      </c>
      <c r="C316" s="31">
        <f aca="true" t="shared" si="30" ref="C316:V316">SUM(C314:C315)</f>
        <v>1.0000131776612287</v>
      </c>
      <c r="D316" s="31">
        <f t="shared" si="30"/>
        <v>1</v>
      </c>
      <c r="E316" s="31">
        <f t="shared" si="30"/>
        <v>1</v>
      </c>
      <c r="F316" s="31">
        <f t="shared" si="30"/>
        <v>1</v>
      </c>
      <c r="G316" s="31">
        <f t="shared" si="30"/>
        <v>1</v>
      </c>
      <c r="H316" s="31">
        <f t="shared" si="30"/>
        <v>1</v>
      </c>
      <c r="I316" s="31">
        <f t="shared" si="30"/>
        <v>1</v>
      </c>
      <c r="J316" s="31">
        <f t="shared" si="30"/>
        <v>1</v>
      </c>
      <c r="K316" s="31">
        <f t="shared" si="30"/>
        <v>1</v>
      </c>
      <c r="L316" s="31">
        <f t="shared" si="30"/>
        <v>1.0000206720482898</v>
      </c>
      <c r="M316" s="31">
        <f t="shared" si="30"/>
        <v>1</v>
      </c>
      <c r="N316" s="31">
        <f t="shared" si="30"/>
        <v>1</v>
      </c>
      <c r="O316" s="31">
        <f t="shared" si="30"/>
        <v>1</v>
      </c>
      <c r="P316" s="31">
        <f t="shared" si="30"/>
        <v>1</v>
      </c>
      <c r="Q316" s="31">
        <f t="shared" si="30"/>
        <v>1</v>
      </c>
      <c r="R316" s="31">
        <f t="shared" si="30"/>
        <v>1</v>
      </c>
      <c r="S316" s="31">
        <f t="shared" si="30"/>
        <v>1</v>
      </c>
      <c r="T316" s="31">
        <f t="shared" si="30"/>
        <v>1.000008617866561</v>
      </c>
      <c r="U316" s="31">
        <f t="shared" si="30"/>
        <v>1.0000085316224587</v>
      </c>
      <c r="V316" s="31">
        <f t="shared" si="30"/>
        <v>1</v>
      </c>
      <c r="AM316" s="9"/>
      <c r="AN316" s="9"/>
    </row>
    <row r="317" spans="1:40" ht="12.75">
      <c r="A317" s="2" t="s">
        <v>355</v>
      </c>
      <c r="AM317" s="9"/>
      <c r="AN317" s="9"/>
    </row>
    <row r="318" spans="1:40" ht="12.75">
      <c r="A318" s="2" t="s">
        <v>45</v>
      </c>
      <c r="B318" s="31">
        <f>'Working counts'!B348/'Working counts'!B$21</f>
        <v>0.952545389345623</v>
      </c>
      <c r="C318" s="31">
        <f>'Working counts'!C348/'Working counts'!C$21</f>
        <v>0.9599926205097119</v>
      </c>
      <c r="D318" s="31">
        <f>'Working counts'!D348/'Working counts'!D$21</f>
        <v>0.9651077327762949</v>
      </c>
      <c r="E318" s="31">
        <f>'Working counts'!E348/'Working counts'!E$21</f>
        <v>0.966450653083867</v>
      </c>
      <c r="F318" s="31">
        <f>'Working counts'!F348/'Working counts'!F$21</f>
        <v>0.9685068635710392</v>
      </c>
      <c r="G318" s="31">
        <f>'Working counts'!G348/'Working counts'!G$21</f>
        <v>0.969794647060954</v>
      </c>
      <c r="H318" s="31">
        <f>'Working counts'!H348/'Working counts'!H$21</f>
        <v>0.9721821578038919</v>
      </c>
      <c r="I318" s="31">
        <f>'Working counts'!I348/'Working counts'!I$21</f>
        <v>0.9725774202548126</v>
      </c>
      <c r="J318" s="31">
        <f>'Working counts'!J348/'Working counts'!J$21</f>
        <v>0.9734962615779489</v>
      </c>
      <c r="K318" s="31">
        <f>'Working counts'!K348/'Working counts'!K$21</f>
        <v>0.9756313062448868</v>
      </c>
      <c r="L318" s="14" t="s">
        <v>242</v>
      </c>
      <c r="M318" s="14" t="s">
        <v>242</v>
      </c>
      <c r="N318" s="31">
        <f>'Working counts'!N348/'Working counts'!N$21</f>
        <v>0.969459038723487</v>
      </c>
      <c r="O318" s="31">
        <f>'Working counts'!O348/'Working counts'!O$21</f>
        <v>0.9720313358988455</v>
      </c>
      <c r="P318" s="31">
        <f>'Working counts'!P348/'Working counts'!P$21</f>
        <v>0.982477154614478</v>
      </c>
      <c r="Q318" s="31">
        <f>'Working counts'!Q348/'Working counts'!Q$21</f>
        <v>0.9812693251130137</v>
      </c>
      <c r="R318" s="31">
        <f>'Working counts'!R348/'Working counts'!R$21</f>
        <v>0.9838081893196325</v>
      </c>
      <c r="S318" s="31">
        <f>'Working counts'!S348/'Working counts'!S$21</f>
        <v>0.980800056994265</v>
      </c>
      <c r="T318" s="31">
        <f>'Working counts'!T348/'Working counts'!T$21</f>
        <v>0.982324755683483</v>
      </c>
      <c r="U318" s="31">
        <f>'Working counts'!U348/'Working counts'!U$21</f>
        <v>0.9814266579075343</v>
      </c>
      <c r="V318" s="31">
        <f>'Working counts'!V348/'Working counts'!V$21</f>
        <v>0.9826021305545415</v>
      </c>
      <c r="W318" t="s">
        <v>333</v>
      </c>
      <c r="X318" s="59">
        <f>V318-B318</f>
        <v>0.030056741208918436</v>
      </c>
      <c r="AM318" s="9"/>
      <c r="AN318" s="9"/>
    </row>
    <row r="319" spans="1:40" ht="12.75">
      <c r="A319" s="2" t="s">
        <v>46</v>
      </c>
      <c r="B319" s="31">
        <f>'Working counts'!B349/'Working counts'!B$21</f>
        <v>0.0474546106543769</v>
      </c>
      <c r="C319" s="31">
        <f>'Working counts'!C349/'Working counts'!C$21</f>
        <v>0.04000737949028806</v>
      </c>
      <c r="D319" s="31">
        <f>'Working counts'!D349/'Working counts'!D$21</f>
        <v>0.03489226722370508</v>
      </c>
      <c r="E319" s="31">
        <f>'Working counts'!E349/'Working counts'!E$21</f>
        <v>0.033549346916132934</v>
      </c>
      <c r="F319" s="31">
        <f>'Working counts'!F349/'Working counts'!F$21</f>
        <v>0.0314931364289608</v>
      </c>
      <c r="G319" s="31">
        <f>'Working counts'!G349/'Working counts'!G$21</f>
        <v>0.0302174254222351</v>
      </c>
      <c r="H319" s="31">
        <f>'Working counts'!H349/'Working counts'!H$21</f>
        <v>0.027817842196108104</v>
      </c>
      <c r="I319" s="31">
        <f>'Working counts'!I349/'Working counts'!I$21</f>
        <v>0.02742257974518739</v>
      </c>
      <c r="J319" s="31">
        <f>'Working counts'!J349/'Working counts'!J$21</f>
        <v>0.02650373842205111</v>
      </c>
      <c r="K319" s="31">
        <f>'Working counts'!K349/'Working counts'!K$21</f>
        <v>0.02435778565584947</v>
      </c>
      <c r="L319" s="14" t="s">
        <v>242</v>
      </c>
      <c r="M319" s="14" t="s">
        <v>242</v>
      </c>
      <c r="N319" s="31">
        <f>'Working counts'!N349/'Working counts'!N$21</f>
        <v>0.03054096127651294</v>
      </c>
      <c r="O319" s="31">
        <f>'Working counts'!O349/'Working counts'!O$21</f>
        <v>0.02796866410115448</v>
      </c>
      <c r="P319" s="31">
        <f>'Working counts'!P349/'Working counts'!P$21</f>
        <v>0.01752284538552192</v>
      </c>
      <c r="Q319" s="31">
        <f>'Working counts'!Q349/'Working counts'!Q$21</f>
        <v>0.01873067488698627</v>
      </c>
      <c r="R319" s="31">
        <f>'Working counts'!R349/'Working counts'!R$21</f>
        <v>0.016182652416407945</v>
      </c>
      <c r="S319" s="31">
        <f>'Working counts'!S349/'Working counts'!S$21</f>
        <v>0.01919994300573505</v>
      </c>
      <c r="T319" s="31">
        <f>'Working counts'!T349/'Working counts'!T$21</f>
        <v>0.017675244316517003</v>
      </c>
      <c r="U319" s="31">
        <f>'Working counts'!U349/'Working counts'!U$21</f>
        <v>0.018573342092465726</v>
      </c>
      <c r="V319" s="31">
        <f>'Working counts'!V349/'Working counts'!V$21</f>
        <v>0.01739786944545847</v>
      </c>
      <c r="W319" t="s">
        <v>333</v>
      </c>
      <c r="X319" s="59">
        <f>V319-B319</f>
        <v>-0.030056741208918433</v>
      </c>
      <c r="AM319" s="9"/>
      <c r="AN319" s="9"/>
    </row>
    <row r="320" spans="2:22" ht="12.75">
      <c r="B320" s="31">
        <f>SUM(B318:B319)</f>
        <v>1</v>
      </c>
      <c r="C320" s="31">
        <f aca="true" t="shared" si="31" ref="C320:K320">SUM(C318:C319)</f>
        <v>1</v>
      </c>
      <c r="D320" s="31">
        <f t="shared" si="31"/>
        <v>1</v>
      </c>
      <c r="E320" s="31">
        <f t="shared" si="31"/>
        <v>1</v>
      </c>
      <c r="F320" s="31">
        <f t="shared" si="31"/>
        <v>1</v>
      </c>
      <c r="G320" s="31">
        <f t="shared" si="31"/>
        <v>1.0000120724831891</v>
      </c>
      <c r="H320" s="31">
        <f t="shared" si="31"/>
        <v>1</v>
      </c>
      <c r="I320" s="31">
        <f t="shared" si="31"/>
        <v>1</v>
      </c>
      <c r="J320" s="31">
        <f t="shared" si="31"/>
        <v>1</v>
      </c>
      <c r="K320" s="31">
        <f t="shared" si="31"/>
        <v>0.9999890919007363</v>
      </c>
      <c r="L320" s="28"/>
      <c r="M320" s="28"/>
      <c r="N320" s="31">
        <f aca="true" t="shared" si="32" ref="N320:V320">SUM(N318:N319)</f>
        <v>1</v>
      </c>
      <c r="O320" s="31">
        <f t="shared" si="32"/>
        <v>1</v>
      </c>
      <c r="P320" s="31">
        <f t="shared" si="32"/>
        <v>1</v>
      </c>
      <c r="Q320" s="31">
        <f t="shared" si="32"/>
        <v>1</v>
      </c>
      <c r="R320" s="31">
        <f t="shared" si="32"/>
        <v>0.9999908417360405</v>
      </c>
      <c r="S320" s="31">
        <f t="shared" si="32"/>
        <v>1</v>
      </c>
      <c r="T320" s="31">
        <f t="shared" si="32"/>
        <v>1</v>
      </c>
      <c r="U320" s="31">
        <f t="shared" si="32"/>
        <v>1</v>
      </c>
      <c r="V320" s="31">
        <f t="shared" si="32"/>
        <v>1</v>
      </c>
    </row>
    <row r="321" ht="12.75">
      <c r="B321" s="28"/>
    </row>
    <row r="322" spans="1:40" ht="12.75">
      <c r="A322" s="18" t="s">
        <v>356</v>
      </c>
      <c r="B322" s="31">
        <f>'Working counts'!B351/'Working counts'!B$21</f>
        <v>0.011023601131579297</v>
      </c>
      <c r="C322" s="31">
        <f>'Working counts'!C351/'Working counts'!C$21</f>
        <v>0.009527449068339352</v>
      </c>
      <c r="D322" s="31">
        <f>'Working counts'!D351/'Working counts'!D$21</f>
        <v>0.008961613348290846</v>
      </c>
      <c r="E322" s="31">
        <f>'Working counts'!E351/'Working counts'!E$21</f>
        <v>0.009027182409602099</v>
      </c>
      <c r="F322" s="31">
        <f>'Working counts'!F351/'Working counts'!F$21</f>
        <v>0.010134298032608157</v>
      </c>
      <c r="G322" s="31">
        <f>'Working counts'!G351/'Working counts'!G$21</f>
        <v>0.011589583861504472</v>
      </c>
      <c r="H322" s="31">
        <f>'Working counts'!H351/'Working counts'!H$21</f>
        <v>0.011242995294729625</v>
      </c>
      <c r="I322" s="31">
        <f>'Working counts'!I351/'Working counts'!I$21</f>
        <v>0.011589788896122012</v>
      </c>
      <c r="J322" s="31">
        <f>'Working counts'!J351/'Working counts'!J$21</f>
        <v>0.010623814306439014</v>
      </c>
      <c r="K322" s="31">
        <f>'Working counts'!K351/'Working counts'!K$21</f>
        <v>0.01064630488137442</v>
      </c>
      <c r="L322" s="31">
        <f>'Working counts'!L351/'Working counts'!L$21</f>
        <v>0.007772690157004207</v>
      </c>
      <c r="M322" s="31">
        <f>'Working counts'!M351/'Working counts'!M$21</f>
        <v>0.009096829133897711</v>
      </c>
      <c r="N322" s="31">
        <f>'Working counts'!N351/'Working counts'!N$21</f>
        <v>0.009330609067912046</v>
      </c>
      <c r="O322" s="31">
        <f>'Working counts'!O351/'Working counts'!O$21</f>
        <v>0.011269928532160528</v>
      </c>
      <c r="P322" s="31">
        <f>'Working counts'!P351/'Working counts'!P$21</f>
        <v>0.01238384111589807</v>
      </c>
      <c r="Q322" s="31">
        <f>'Working counts'!Q351/'Working counts'!Q$21</f>
        <v>0.013495860079133106</v>
      </c>
      <c r="R322" s="31">
        <f>'Working counts'!R351/'Working counts'!R$21</f>
        <v>0.005650648863001529</v>
      </c>
      <c r="S322" s="31">
        <f>'Working counts'!S351/'Working counts'!S$21</f>
        <v>0.007997007801090016</v>
      </c>
      <c r="T322" s="31">
        <f>'Working counts'!T351/'Working counts'!T$21</f>
        <v>0.006110067391716507</v>
      </c>
      <c r="U322" s="31">
        <f>'Working counts'!U351/'Working counts'!U$21</f>
        <v>0.007277473957222445</v>
      </c>
      <c r="V322" s="31">
        <f>'Working counts'!V351/'Working counts'!V$21</f>
        <v>0.006604055354594631</v>
      </c>
      <c r="W322" t="s">
        <v>333</v>
      </c>
      <c r="X322" s="59">
        <f>V322-B322</f>
        <v>-0.004419545776984666</v>
      </c>
      <c r="AM322" s="9"/>
      <c r="AN322" s="9"/>
    </row>
    <row r="323" spans="1:40" ht="12.75">
      <c r="A323" s="18"/>
      <c r="AM323" s="9"/>
      <c r="AN323" s="9"/>
    </row>
    <row r="324" spans="1:40" ht="12.75">
      <c r="A324" s="18" t="s">
        <v>357</v>
      </c>
      <c r="L324" s="31">
        <f>'Working counts'!L353/'Working counts'!L$21</f>
        <v>0.011483322825042119</v>
      </c>
      <c r="M324" s="31">
        <f>'Working counts'!M353/'Working counts'!M$21</f>
        <v>0.011240795471622501</v>
      </c>
      <c r="N324" s="31">
        <f>'Working counts'!N353/'Working counts'!N$21</f>
        <v>0.00840630472854641</v>
      </c>
      <c r="O324" s="31">
        <f>'Working counts'!O353/'Working counts'!O$21</f>
        <v>0.010936150160998978</v>
      </c>
      <c r="P324" s="31">
        <f>'Working counts'!P353/'Working counts'!P$21</f>
        <v>0.01107011070110701</v>
      </c>
      <c r="Q324" s="31">
        <f>'Working counts'!Q353/'Working counts'!Q$21</f>
        <v>0.011578620903545953</v>
      </c>
      <c r="R324" s="44"/>
      <c r="S324" s="44"/>
      <c r="T324" s="44" t="s">
        <v>309</v>
      </c>
      <c r="U324" s="31">
        <f>'Working counts'!U353/'Working counts'!U$21</f>
        <v>0.013497026729573163</v>
      </c>
      <c r="V324" s="31">
        <f>'Working counts'!V353/'Working counts'!V$21</f>
        <v>0.014021172800584077</v>
      </c>
      <c r="AM324" s="9"/>
      <c r="AN324" s="9"/>
    </row>
    <row r="325" spans="1:40" ht="12.75">
      <c r="A325" s="18" t="s">
        <v>358</v>
      </c>
      <c r="B325" s="31">
        <f>'Working counts'!B354/'Working counts'!B$21</f>
        <v>0.012285338610495</v>
      </c>
      <c r="C325" s="31">
        <f>'Working counts'!C354/'Working counts'!C$21</f>
        <v>0.010963814142266031</v>
      </c>
      <c r="D325" s="31">
        <f>'Working counts'!D354/'Working counts'!D$21</f>
        <v>0.011063401802638196</v>
      </c>
      <c r="E325" s="31">
        <f>'Working counts'!E354/'Working counts'!E$21</f>
        <v>0.01021231529577891</v>
      </c>
      <c r="F325" s="31">
        <f>'Working counts'!F354/'Working counts'!F$21</f>
        <v>0.010072352445611775</v>
      </c>
      <c r="G325" s="31">
        <f>'Working counts'!G354/'Working counts'!G$21</f>
        <v>0.009150942257312908</v>
      </c>
      <c r="H325" s="31">
        <f>'Working counts'!H354/'Working counts'!H$21</f>
        <v>0.008713025796231054</v>
      </c>
      <c r="I325" s="31">
        <f>'Working counts'!I354/'Working counts'!I$21</f>
        <v>0.008416255928578071</v>
      </c>
      <c r="J325" s="31">
        <f>'Working counts'!J354/'Working counts'!J$21</f>
        <v>0.008101774355540676</v>
      </c>
      <c r="K325" s="31">
        <f>'Working counts'!K354/'Working counts'!K$21</f>
        <v>0.007810199072811563</v>
      </c>
      <c r="AM325" s="9"/>
      <c r="AN325" s="9"/>
    </row>
    <row r="326" spans="1:40" ht="12.75">
      <c r="A326" s="18"/>
      <c r="AM326" s="9"/>
      <c r="AN326" s="9"/>
    </row>
    <row r="328" spans="1:40" ht="12.75">
      <c r="A328" s="3" t="s">
        <v>129</v>
      </c>
      <c r="AM328" s="9"/>
      <c r="AN328" s="9"/>
    </row>
    <row r="329" spans="1:40" ht="12.75">
      <c r="A329" s="3" t="s">
        <v>130</v>
      </c>
      <c r="B329" s="31">
        <f>'Working counts'!B358/'Working counts'!B$28</f>
        <v>0.5401877785309431</v>
      </c>
      <c r="C329" s="31">
        <f>'Working counts'!C358/'Working counts'!C$28</f>
        <v>0.5422278695468022</v>
      </c>
      <c r="D329" s="31">
        <f>'Working counts'!D358/'Working counts'!D$28</f>
        <v>0.555368641672297</v>
      </c>
      <c r="E329" s="31">
        <f>'Working counts'!E358/'Working counts'!E$28</f>
        <v>0.5657590703330856</v>
      </c>
      <c r="F329" s="31">
        <f>'Working counts'!F358/'Working counts'!F$28</f>
        <v>0.5767401700318809</v>
      </c>
      <c r="G329" s="31">
        <f>'Working counts'!G358/'Working counts'!G$28</f>
        <v>0.5923905296305415</v>
      </c>
      <c r="H329" s="31">
        <f>'Working counts'!H358/'Working counts'!H$28</f>
        <v>0.6047701471262027</v>
      </c>
      <c r="I329" s="31">
        <f>'Working counts'!I358/'Working counts'!I$28</f>
        <v>0.6035318213607753</v>
      </c>
      <c r="J329" s="31">
        <f>'Working counts'!J358/'Working counts'!J$28</f>
        <v>0.6111331529906823</v>
      </c>
      <c r="K329" s="31">
        <f>'Working counts'!K358/'Working counts'!K$28</f>
        <v>0.6156454547602732</v>
      </c>
      <c r="L329" s="31">
        <f>'Working counts'!L358/'Working counts'!L$28</f>
        <v>0.6495900480633305</v>
      </c>
      <c r="M329" s="31">
        <f>'Working counts'!M358/'Working counts'!M$28</f>
        <v>0.6575565531203239</v>
      </c>
      <c r="N329" s="31">
        <f>'Working counts'!N358/'Working counts'!N$28</f>
        <v>0.6616248412198584</v>
      </c>
      <c r="O329" s="31">
        <f>'Working counts'!O358/'Working counts'!O$28</f>
        <v>0.6746969843365862</v>
      </c>
      <c r="P329" s="31">
        <f>'Working counts'!P358/'Working counts'!P$28</f>
        <v>0.6820974621004181</v>
      </c>
      <c r="Q329" s="31">
        <f>'Working counts'!Q358/'Working counts'!Q$28</f>
        <v>0.6862620658593758</v>
      </c>
      <c r="R329" s="31">
        <f>'Working counts'!R358/'Working counts'!R$28</f>
        <v>0.6831847377044237</v>
      </c>
      <c r="S329" s="31">
        <f>'Working counts'!S358/'Working counts'!S$28</f>
        <v>0.6903689581043355</v>
      </c>
      <c r="T329" s="31">
        <f>'Working counts'!T358/'Working counts'!T$28</f>
        <v>0.6964549552516915</v>
      </c>
      <c r="U329" s="31">
        <f>'Working counts'!U358/'Working counts'!U$28</f>
        <v>0.704228945031273</v>
      </c>
      <c r="V329" s="31">
        <f>'Working counts'!V358/'Working counts'!V$28</f>
        <v>0.7125313444351572</v>
      </c>
      <c r="W329" t="s">
        <v>333</v>
      </c>
      <c r="X329" s="59">
        <f>V329-B329</f>
        <v>0.17234356590421407</v>
      </c>
      <c r="AM329" s="9"/>
      <c r="AN329" s="9"/>
    </row>
    <row r="330" spans="1:40" ht="12.75">
      <c r="A330" s="18" t="s">
        <v>131</v>
      </c>
      <c r="B330" s="31">
        <f>'Working counts'!B359/'Working counts'!B$28</f>
        <v>0.4042430448389749</v>
      </c>
      <c r="C330" s="31">
        <f>'Working counts'!C359/'Working counts'!C$28</f>
        <v>0.404291966680785</v>
      </c>
      <c r="D330" s="31">
        <f>'Working counts'!D359/'Working counts'!D$28</f>
        <v>0.39497814486438787</v>
      </c>
      <c r="E330" s="31">
        <f>'Working counts'!E359/'Working counts'!E$28</f>
        <v>0.38805486115802984</v>
      </c>
      <c r="F330" s="31">
        <f>'Working counts'!F359/'Working counts'!F$28</f>
        <v>0.3797290116896918</v>
      </c>
      <c r="G330" s="31">
        <f>'Working counts'!G359/'Working counts'!G$28</f>
        <v>0.365557816164941</v>
      </c>
      <c r="H330" s="31">
        <f>'Working counts'!H359/'Working counts'!H$28</f>
        <v>0.35516468971134757</v>
      </c>
      <c r="I330" s="31">
        <f>'Working counts'!I359/'Working counts'!I$28</f>
        <v>0.3548056748925967</v>
      </c>
      <c r="J330" s="31">
        <f>'Working counts'!J359/'Working counts'!J$28</f>
        <v>0.3492155094679892</v>
      </c>
      <c r="K330" s="31">
        <f>'Working counts'!K359/'Working counts'!K$28</f>
        <v>0.34978378506108365</v>
      </c>
      <c r="L330" s="31">
        <f>'Working counts'!L359/'Working counts'!L$28</f>
        <v>0.3221826406559231</v>
      </c>
      <c r="M330" s="31">
        <f>'Working counts'!M359/'Working counts'!M$28</f>
        <v>0.3156632338702579</v>
      </c>
      <c r="N330" s="31">
        <f>'Working counts'!N359/'Working counts'!N$28</f>
        <v>0.3098107447455782</v>
      </c>
      <c r="O330" s="31">
        <f>'Working counts'!O359/'Working counts'!O$28</f>
        <v>0.29816311851159993</v>
      </c>
      <c r="P330" s="31">
        <f>'Working counts'!P359/'Working counts'!P$28</f>
        <v>0.292713567839196</v>
      </c>
      <c r="Q330" s="31">
        <f>'Working counts'!Q359/'Working counts'!Q$28</f>
        <v>0.2876050484681605</v>
      </c>
      <c r="R330" s="31">
        <f>'Working counts'!R359/'Working counts'!R$28</f>
        <v>0.28861057223556846</v>
      </c>
      <c r="S330" s="31">
        <f>'Working counts'!S359/'Working counts'!S$28</f>
        <v>0.28461231676118404</v>
      </c>
      <c r="T330" s="31">
        <f>'Working counts'!T359/'Working counts'!T$28</f>
        <v>0.2785123422516257</v>
      </c>
      <c r="U330" s="31">
        <f>'Working counts'!U359/'Working counts'!U$28</f>
        <v>0.2715651631677406</v>
      </c>
      <c r="V330" s="31">
        <f>'Working counts'!V359/'Working counts'!V$28</f>
        <v>0.26336673678022615</v>
      </c>
      <c r="W330" t="s">
        <v>333</v>
      </c>
      <c r="X330" s="59">
        <f>V330-B330</f>
        <v>-0.14087630805874873</v>
      </c>
      <c r="AM330" s="9"/>
      <c r="AN330" s="9"/>
    </row>
    <row r="331" spans="1:40" ht="12.75">
      <c r="A331" s="18" t="s">
        <v>132</v>
      </c>
      <c r="B331" s="31">
        <f>'Working counts'!B360/'Working counts'!B$28</f>
        <v>0.04303618558633918</v>
      </c>
      <c r="C331" s="31">
        <f>'Working counts'!C360/'Working counts'!C$28</f>
        <v>0.04204433149795284</v>
      </c>
      <c r="D331" s="31">
        <f>'Working counts'!D360/'Working counts'!D$28</f>
        <v>0.039849427078306195</v>
      </c>
      <c r="E331" s="31">
        <f>'Working counts'!E360/'Working counts'!E$28</f>
        <v>0.03656509695290859</v>
      </c>
      <c r="F331" s="31">
        <f>'Working counts'!F360/'Working counts'!F$28</f>
        <v>0.03459086078639745</v>
      </c>
      <c r="G331" s="31">
        <f>'Working counts'!G360/'Working counts'!G$28</f>
        <v>0.03133463786333537</v>
      </c>
      <c r="H331" s="31">
        <f>'Working counts'!H360/'Working counts'!H$28</f>
        <v>0.03001069083133941</v>
      </c>
      <c r="I331" s="31">
        <f>'Working counts'!I360/'Working counts'!I$28</f>
        <v>0.031833849535418124</v>
      </c>
      <c r="J331" s="31">
        <f>'Working counts'!J360/'Working counts'!J$28</f>
        <v>0.028866847009317704</v>
      </c>
      <c r="K331" s="31">
        <f>'Working counts'!K360/'Working counts'!K$28</f>
        <v>0.026323873437463077</v>
      </c>
      <c r="L331" s="31">
        <f>'Working counts'!L360/'Working counts'!L$28</f>
        <v>0.022222222222222223</v>
      </c>
      <c r="M331" s="31">
        <f>'Working counts'!M360/'Working counts'!M$28</f>
        <v>0.02182906434292756</v>
      </c>
      <c r="N331" s="31">
        <f>'Working counts'!N360/'Working counts'!N$28</f>
        <v>0.022213208372917178</v>
      </c>
      <c r="O331" s="31">
        <f>'Working counts'!O360/'Working counts'!O$28</f>
        <v>0.021578794808206382</v>
      </c>
      <c r="P331" s="31">
        <f>'Working counts'!P360/'Working counts'!P$28</f>
        <v>0.02048055403065749</v>
      </c>
      <c r="Q331" s="31">
        <f>'Working counts'!Q360/'Working counts'!Q$28</f>
        <v>0.021076228593655634</v>
      </c>
      <c r="R331" s="31">
        <f>'Working counts'!R360/'Working counts'!R$28</f>
        <v>0.02162091529546574</v>
      </c>
      <c r="S331" s="31">
        <f>'Working counts'!S360/'Working counts'!S$28</f>
        <v>0.02069005768314154</v>
      </c>
      <c r="T331" s="31">
        <f>'Working counts'!T360/'Working counts'!T$28</f>
        <v>0.02024261017682875</v>
      </c>
      <c r="U331" s="31">
        <f>'Working counts'!U360/'Working counts'!U$28</f>
        <v>0.019812550783242948</v>
      </c>
      <c r="V331" s="31">
        <f>'Working counts'!V360/'Working counts'!V$28</f>
        <v>0.01989510521626512</v>
      </c>
      <c r="W331" t="s">
        <v>333</v>
      </c>
      <c r="X331" s="59">
        <f>V331-B331</f>
        <v>-0.023141080370074063</v>
      </c>
      <c r="AM331" s="9"/>
      <c r="AN331" s="9"/>
    </row>
    <row r="332" spans="1:40" ht="12.75">
      <c r="A332" s="18" t="s">
        <v>133</v>
      </c>
      <c r="B332" s="31">
        <f>'Working counts'!B361/'Working counts'!B$28</f>
        <v>0.01253299104374288</v>
      </c>
      <c r="C332" s="31">
        <f>'Working counts'!C361/'Working counts'!C$28</f>
        <v>0.011435832274459974</v>
      </c>
      <c r="D332" s="31">
        <f>'Working counts'!D361/'Working counts'!D$28</f>
        <v>0.009789997655916054</v>
      </c>
      <c r="E332" s="31">
        <f>'Working counts'!E361/'Working counts'!E$28</f>
        <v>0.009620971555975948</v>
      </c>
      <c r="F332" s="31">
        <f>'Working counts'!F361/'Working counts'!F$28</f>
        <v>0.008953241232731137</v>
      </c>
      <c r="G332" s="31">
        <f>'Working counts'!G361/'Working counts'!G$28</f>
        <v>0.010704057433877175</v>
      </c>
      <c r="H332" s="31">
        <f>'Working counts'!H361/'Working counts'!H$28</f>
        <v>0.010041745150944357</v>
      </c>
      <c r="I332" s="31">
        <f>'Working counts'!I361/'Working counts'!I$28</f>
        <v>0.009828654211209912</v>
      </c>
      <c r="J332" s="31">
        <f>'Working counts'!J361/'Working counts'!J$28</f>
        <v>0.01080853621881575</v>
      </c>
      <c r="K332" s="31">
        <f>'Working counts'!K361/'Working counts'!K$28</f>
        <v>0.008270516789149081</v>
      </c>
      <c r="L332" s="31">
        <f>'Working counts'!L361/'Working counts'!L$28</f>
        <v>0.006005089058524173</v>
      </c>
      <c r="M332" s="31">
        <f>'Working counts'!M361/'Working counts'!M$28</f>
        <v>0.0049511486664906255</v>
      </c>
      <c r="N332" s="31">
        <f>'Working counts'!N361/'Working counts'!N$28</f>
        <v>0.00635120566164619</v>
      </c>
      <c r="O332" s="31">
        <f>'Working counts'!O361/'Working counts'!O$28</f>
        <v>0.005561102343607416</v>
      </c>
      <c r="P332" s="31">
        <f>'Working counts'!P361/'Working counts'!P$28</f>
        <v>0.004708416029728474</v>
      </c>
      <c r="Q332" s="31">
        <f>'Working counts'!Q361/'Working counts'!Q$28</f>
        <v>0.005066893226740913</v>
      </c>
      <c r="R332" s="31">
        <f>'Working counts'!R361/'Working counts'!R$28</f>
        <v>0.006583774764542101</v>
      </c>
      <c r="S332" s="31">
        <f>'Working counts'!S361/'Working counts'!S$28</f>
        <v>0.00431894010875169</v>
      </c>
      <c r="T332" s="31">
        <f>'Working counts'!T361/'Working counts'!T$28</f>
        <v>0.004790092319853945</v>
      </c>
      <c r="U332" s="31">
        <f>'Working counts'!U361/'Working counts'!U$28</f>
        <v>0.0043933410177434285</v>
      </c>
      <c r="V332" s="31">
        <f>'Working counts'!V361/'Working counts'!V$28</f>
        <v>0.004197628385887886</v>
      </c>
      <c r="W332" t="s">
        <v>333</v>
      </c>
      <c r="X332" s="59">
        <f>V332-B332</f>
        <v>-0.008335362657854993</v>
      </c>
      <c r="AM332" s="9"/>
      <c r="AN332" s="9"/>
    </row>
    <row r="333" spans="2:40" ht="12.75">
      <c r="B333" s="31">
        <f>SUM(B329:B332)</f>
        <v>1</v>
      </c>
      <c r="C333" s="31">
        <f aca="true" t="shared" si="33" ref="C333:V333">SUM(C329:C332)</f>
        <v>1</v>
      </c>
      <c r="D333" s="31">
        <f t="shared" si="33"/>
        <v>0.9999862112709071</v>
      </c>
      <c r="E333" s="31">
        <f t="shared" si="33"/>
        <v>0.9999999999999999</v>
      </c>
      <c r="F333" s="31">
        <f t="shared" si="33"/>
        <v>1.0000132837407012</v>
      </c>
      <c r="G333" s="31">
        <f t="shared" si="33"/>
        <v>0.999987041092695</v>
      </c>
      <c r="H333" s="31">
        <f t="shared" si="33"/>
        <v>0.999987272819834</v>
      </c>
      <c r="I333" s="31">
        <f t="shared" si="33"/>
        <v>1</v>
      </c>
      <c r="J333" s="31">
        <f t="shared" si="33"/>
        <v>1.000024045686805</v>
      </c>
      <c r="K333" s="31">
        <f t="shared" si="33"/>
        <v>1.000023630047969</v>
      </c>
      <c r="L333" s="31">
        <f t="shared" si="33"/>
        <v>1.0000000000000002</v>
      </c>
      <c r="M333" s="31">
        <f t="shared" si="33"/>
        <v>1</v>
      </c>
      <c r="N333" s="31">
        <f t="shared" si="33"/>
        <v>1</v>
      </c>
      <c r="O333" s="31">
        <f t="shared" si="33"/>
        <v>0.9999999999999999</v>
      </c>
      <c r="P333" s="31">
        <f t="shared" si="33"/>
        <v>1</v>
      </c>
      <c r="Q333" s="31">
        <f t="shared" si="33"/>
        <v>1.0000102361479328</v>
      </c>
      <c r="R333" s="31">
        <f t="shared" si="33"/>
        <v>0.9999999999999999</v>
      </c>
      <c r="S333" s="31">
        <f t="shared" si="33"/>
        <v>0.9999902726574128</v>
      </c>
      <c r="T333" s="31">
        <f t="shared" si="33"/>
        <v>0.9999999999999999</v>
      </c>
      <c r="U333" s="31">
        <f t="shared" si="33"/>
        <v>1</v>
      </c>
      <c r="V333" s="31">
        <f t="shared" si="33"/>
        <v>0.9999908148175364</v>
      </c>
      <c r="AM333" s="9"/>
      <c r="AN333" s="9"/>
    </row>
    <row r="334" spans="1:40" ht="12.75">
      <c r="A334" s="18" t="s">
        <v>298</v>
      </c>
      <c r="AM334" s="9"/>
      <c r="AN334" s="9"/>
    </row>
    <row r="335" spans="1:40" ht="12.75">
      <c r="A335" s="18"/>
      <c r="AM335" s="9"/>
      <c r="AN335" s="9"/>
    </row>
    <row r="336" spans="1:40" ht="12.75">
      <c r="A336" s="18" t="s">
        <v>260</v>
      </c>
      <c r="B336" s="31">
        <f>'Working counts'!B365/('Working counts'!B$28-'Working counts'!B366)</f>
        <v>0.03971682438777722</v>
      </c>
      <c r="C336" s="31">
        <f>'Working counts'!C365/('Working counts'!C$28-'Working counts'!C366)</f>
        <v>0.0337607323591289</v>
      </c>
      <c r="D336" s="31">
        <f>'Working counts'!D365/('Working counts'!D$28-'Working counts'!D366)</f>
        <v>0.018445904898657977</v>
      </c>
      <c r="E336" s="31">
        <f>'Working counts'!E365/('Working counts'!E$28-'Working counts'!E366)</f>
        <v>0.01529535864978903</v>
      </c>
      <c r="F336" s="31">
        <f>'Working counts'!F365/('Working counts'!F$28-'Working counts'!F366)</f>
        <v>0.013353392267547129</v>
      </c>
      <c r="G336" s="31">
        <f>'Working counts'!G365/('Working counts'!G$28-'Working counts'!G366)</f>
        <v>0.03179573804573804</v>
      </c>
      <c r="H336" s="31">
        <f>'Working counts'!H365/('Working counts'!H$28-'Working counts'!H366)</f>
        <v>0.029063536616483795</v>
      </c>
      <c r="I336" s="31">
        <f>'Working counts'!I365/('Working counts'!I$28-'Working counts'!I366)</f>
        <v>0.029492026137245574</v>
      </c>
      <c r="J336" s="31">
        <f>'Working counts'!J365/('Working counts'!J$28-'Working counts'!J366)</f>
        <v>0.028657962690349204</v>
      </c>
      <c r="K336" s="31">
        <f>'Working counts'!K365/('Working counts'!K$28-'Working counts'!K366)</f>
        <v>0.026852884638203955</v>
      </c>
      <c r="L336" s="31">
        <f>'Working counts'!L365/('Working counts'!L$28-'Working counts'!L366)</f>
        <v>0.022719819055696918</v>
      </c>
      <c r="M336" s="31">
        <f>'Working counts'!M365/('Working counts'!M$28-'Working counts'!M366)</f>
        <v>0.020629786110377607</v>
      </c>
      <c r="N336" s="31">
        <f>'Working counts'!N365/('Working counts'!N$28-'Working counts'!N366)</f>
        <v>0.01736707833865269</v>
      </c>
      <c r="O336" s="31">
        <f>'Working counts'!O365/('Working counts'!O$28-'Working counts'!O366)</f>
        <v>0.016006956745788916</v>
      </c>
      <c r="P336" s="31">
        <f>'Working counts'!P365/('Working counts'!P$28-'Working counts'!P366)</f>
        <v>0.01692284954182678</v>
      </c>
      <c r="Q336" s="31">
        <f>'Working counts'!Q365/('Working counts'!Q$28-'Working counts'!Q366)</f>
        <v>0.018015620361745466</v>
      </c>
      <c r="R336" s="31">
        <f>'Working counts'!R365/('Working counts'!R$28-'Working counts'!R366)</f>
        <v>0.007920632846502558</v>
      </c>
      <c r="S336" s="31">
        <f>'Working counts'!S365/('Working counts'!S$28-'Working counts'!S366)</f>
        <v>0.006060134431874556</v>
      </c>
      <c r="T336" s="31">
        <f>'Working counts'!T365/('Working counts'!T$28-'Working counts'!T366)</f>
        <v>0.0050347728705734</v>
      </c>
      <c r="U336" s="31">
        <f>'Working counts'!U365/('Working counts'!U$28-'Working counts'!U366)</f>
        <v>0.006075093063245215</v>
      </c>
      <c r="V336" s="31">
        <f>'Working counts'!V365/('Working counts'!V$28-'Working counts'!V366)</f>
        <v>0.006429627724554748</v>
      </c>
      <c r="W336" t="s">
        <v>333</v>
      </c>
      <c r="X336" s="59">
        <f>V336-B336</f>
        <v>-0.03328719666322247</v>
      </c>
      <c r="AM336" s="9"/>
      <c r="AN336" s="9"/>
    </row>
    <row r="337" spans="1:40" ht="12.75">
      <c r="A337" s="18"/>
      <c r="AM337" s="9"/>
      <c r="AN337" s="9"/>
    </row>
    <row r="338" spans="1:40" ht="12.75">
      <c r="A338" s="18" t="s">
        <v>261</v>
      </c>
      <c r="B338" s="31">
        <f>'Working counts'!B367/('Working counts'!B$28-'Working counts'!B368)</f>
        <v>0.05286108263424636</v>
      </c>
      <c r="C338" s="31">
        <f>'Working counts'!C367/('Working counts'!C$28-'Working counts'!C368)</f>
        <v>0.04419302502548493</v>
      </c>
      <c r="D338" s="31">
        <f>'Working counts'!D367/('Working counts'!D$28-'Working counts'!D368)</f>
        <v>0.03490459227349294</v>
      </c>
      <c r="E338" s="31">
        <f>'Working counts'!E367/('Working counts'!E$28-'Working counts'!E368)</f>
        <v>0.031851010305931994</v>
      </c>
      <c r="F338" s="31">
        <f>'Working counts'!F367/('Working counts'!F$28-'Working counts'!F368)</f>
        <v>0.028591213561849974</v>
      </c>
      <c r="G338" s="31">
        <f>'Working counts'!G367/('Working counts'!G$28-'Working counts'!G368)</f>
        <v>0.03659154380723518</v>
      </c>
      <c r="H338" s="31">
        <f>'Working counts'!H367/('Working counts'!H$28-'Working counts'!H368)</f>
        <v>0.034496390950595555</v>
      </c>
      <c r="I338" s="31">
        <f>'Working counts'!I367/('Working counts'!I$28-'Working counts'!I368)</f>
        <v>0.03490641577419678</v>
      </c>
      <c r="J338" s="31">
        <f>'Working counts'!J367/('Working counts'!J$28-'Working counts'!J368)</f>
        <v>0.03290513238043544</v>
      </c>
      <c r="K338" s="31">
        <f>'Working counts'!K367/('Working counts'!K$28-'Working counts'!K368)</f>
        <v>0.030603530081609414</v>
      </c>
      <c r="L338" s="31">
        <f>'Working counts'!L367/('Working counts'!L$28-'Working counts'!L368)</f>
        <v>0.028295165394402036</v>
      </c>
      <c r="M338" s="31">
        <f>'Working counts'!M367/('Working counts'!M$28-'Working counts'!M368)</f>
        <v>0.0245246897280169</v>
      </c>
      <c r="N338" s="31">
        <f>'Working counts'!N367/('Working counts'!N$28-'Working counts'!N368)</f>
        <v>0.018989571213560624</v>
      </c>
      <c r="O338" s="31">
        <f>'Working counts'!O367/('Working counts'!O$28-'Working counts'!O368)</f>
        <v>0.017574371692056643</v>
      </c>
      <c r="P338" s="31">
        <f>'Working counts'!P367/('Working counts'!P$28-'Working counts'!P368)</f>
        <v>0.018168573962248215</v>
      </c>
      <c r="Q338" s="31">
        <f>'Working counts'!Q367/('Working counts'!Q$28-'Working counts'!Q368)</f>
        <v>0.018588844645982823</v>
      </c>
      <c r="R338" s="31">
        <f>'Working counts'!R367/('Working counts'!R$28-'Working counts'!R368)</f>
        <v>0.021329419924211203</v>
      </c>
      <c r="S338" s="31">
        <f>'Working counts'!S367/('Working counts'!S$28-'Working counts'!S368)</f>
        <v>0.016312753518866182</v>
      </c>
      <c r="T338" s="31">
        <f>'Working counts'!T367/('Working counts'!T$28-'Working counts'!T368)</f>
        <v>0.01230931385927104</v>
      </c>
      <c r="U338" s="31">
        <f>'Working counts'!U367/('Working counts'!U$28-'Working counts'!U368)</f>
        <v>0.014039795166380075</v>
      </c>
      <c r="V338" s="31">
        <f>'Working counts'!V367/('Working counts'!V$28-'Working counts'!V368)</f>
        <v>0.014172736541411395</v>
      </c>
      <c r="W338" t="s">
        <v>333</v>
      </c>
      <c r="X338" s="59">
        <f>V338-B338</f>
        <v>-0.03868834609283497</v>
      </c>
      <c r="AM338" s="9"/>
      <c r="AN338" s="9"/>
    </row>
    <row r="339" spans="1:40" ht="12.75">
      <c r="A339" s="18"/>
      <c r="AM339" s="9"/>
      <c r="AN339" s="9"/>
    </row>
    <row r="340" spans="1:40" ht="12.75">
      <c r="A340" s="18" t="s">
        <v>262</v>
      </c>
      <c r="B340" s="31">
        <f>'Working counts'!B369/('Working counts'!B$28-'Working counts'!B370)</f>
        <v>0.14514597847200922</v>
      </c>
      <c r="C340" s="31">
        <f>'Working counts'!C369/('Working counts'!C$28-'Working counts'!C370)</f>
        <v>0.133801612857265</v>
      </c>
      <c r="D340" s="31">
        <f>'Working counts'!D369/('Working counts'!D$28-'Working counts'!D370)</f>
        <v>0.11725857913142826</v>
      </c>
      <c r="E340" s="31">
        <f>'Working counts'!E369/('Working counts'!E$28-'Working counts'!E370)</f>
        <v>0.11317150381377325</v>
      </c>
      <c r="F340" s="31">
        <f>'Working counts'!F369/('Working counts'!F$28-'Working counts'!F370)</f>
        <v>0.10861332688743856</v>
      </c>
      <c r="G340" s="31">
        <f>'Working counts'!G369/('Working counts'!G$28-'Working counts'!G370)</f>
        <v>0.11734347235287969</v>
      </c>
      <c r="H340" s="31">
        <f>'Working counts'!H369/('Working counts'!H$28-'Working counts'!H370)</f>
        <v>0.12165468923061072</v>
      </c>
      <c r="I340" s="31">
        <f>'Working counts'!I369/('Working counts'!I$28-'Working counts'!I370)</f>
        <v>0.13128220634740648</v>
      </c>
      <c r="J340" s="31">
        <f>'Working counts'!J369/('Working counts'!J$28-'Working counts'!J370)</f>
        <v>0.10402464763106184</v>
      </c>
      <c r="K340" s="31">
        <f>'Working counts'!K369/('Working counts'!K$28-'Working counts'!K370)</f>
        <v>0.15041250855640018</v>
      </c>
      <c r="L340" s="31">
        <f>'Working counts'!L369/('Working counts'!L$28-'Working counts'!L370)</f>
        <v>0.15424208532103809</v>
      </c>
      <c r="M340" s="31">
        <f>'Working counts'!M369/('Working counts'!M$28-'Working counts'!M370)</f>
        <v>0.14798315873668308</v>
      </c>
      <c r="N340" s="31">
        <f>'Working counts'!N369/('Working counts'!N$28-'Working counts'!N370)</f>
        <v>0.14705691969101972</v>
      </c>
      <c r="O340" s="31">
        <f>'Working counts'!O369/('Working counts'!O$28-'Working counts'!O370)</f>
        <v>0.1328060582389446</v>
      </c>
      <c r="P340" s="31">
        <f>'Working counts'!P369/('Working counts'!P$28-'Working counts'!P370)</f>
        <v>0.13235074547277265</v>
      </c>
      <c r="Q340" s="31">
        <f>'Working counts'!Q369/('Working counts'!Q$28-'Working counts'!Q370)</f>
        <v>0.126303098333905</v>
      </c>
      <c r="R340" s="31">
        <f>'Working counts'!R369/('Working counts'!R$28-'Working counts'!R370)</f>
        <v>0.10891474855180192</v>
      </c>
      <c r="S340" s="31">
        <f>'Working counts'!S369/('Working counts'!S$28-'Working counts'!S370)</f>
        <v>0.11316339739121777</v>
      </c>
      <c r="T340" s="31">
        <f>'Working counts'!T369/('Working counts'!T$28-'Working counts'!T370)</f>
        <v>0.10954240320067707</v>
      </c>
      <c r="U340" s="31">
        <f>'Working counts'!U369/('Working counts'!U$28-'Working counts'!U370)</f>
        <v>0.09223732812469783</v>
      </c>
      <c r="V340" s="31">
        <f>'Working counts'!V369/('Working counts'!V$28-'Working counts'!V370)</f>
        <v>0.09109589680842121</v>
      </c>
      <c r="W340" t="s">
        <v>333</v>
      </c>
      <c r="X340" s="59">
        <f>V340-B340</f>
        <v>-0.054050081663588004</v>
      </c>
      <c r="AM340" s="9"/>
      <c r="AN340" s="9"/>
    </row>
    <row r="341" spans="1:40" ht="12.75">
      <c r="A341" s="18"/>
      <c r="AM341" s="9"/>
      <c r="AN341" s="9"/>
    </row>
    <row r="342" spans="1:40" ht="12.75">
      <c r="A342" s="18"/>
      <c r="AM342" s="9"/>
      <c r="AN342" s="9"/>
    </row>
    <row r="343" spans="1:40" ht="12.75">
      <c r="A343" s="18" t="s">
        <v>259</v>
      </c>
      <c r="B343" s="31">
        <f>'Working counts'!B372/('Working counts'!B$28-'Working counts'!B373)</f>
        <v>0.019563493229151366</v>
      </c>
      <c r="C343" s="31">
        <f>'Working counts'!C372/('Working counts'!C$28-'Working counts'!C373)</f>
        <v>0.01867664277351001</v>
      </c>
      <c r="D343" s="31">
        <f>'Working counts'!D372/('Working counts'!D$28-'Working counts'!D373)</f>
        <v>0.018012517172950694</v>
      </c>
      <c r="E343" s="31">
        <f>'Working counts'!E372/('Working counts'!E$28-'Working counts'!E373)</f>
        <v>0.017128086524726208</v>
      </c>
      <c r="F343" s="31">
        <f>'Working counts'!F372/('Working counts'!F$28-'Working counts'!F373)</f>
        <v>0.01767926291894779</v>
      </c>
      <c r="G343" s="31">
        <f>'Working counts'!G372/('Working counts'!G$28-'Working counts'!G373)</f>
        <v>0.018850363767451007</v>
      </c>
      <c r="H343" s="31">
        <f>'Working counts'!H372/('Working counts'!H$28-'Working counts'!H373)</f>
        <v>0.018014555145551454</v>
      </c>
      <c r="I343" s="31">
        <f>'Working counts'!I372/('Working counts'!I$28-'Working counts'!I373)</f>
        <v>0.019707909625877342</v>
      </c>
      <c r="J343" s="31">
        <f>'Working counts'!J372/('Working counts'!J$28-'Working counts'!J373)</f>
        <v>0.01887933432507287</v>
      </c>
      <c r="K343" s="31">
        <f>'Working counts'!K372/('Working counts'!K$28-'Working counts'!K373)</f>
        <v>0.021841321483678816</v>
      </c>
      <c r="L343" s="31">
        <f>'Working counts'!L372/('Working counts'!L$28-'Working counts'!L373)</f>
        <v>0.01677127509188578</v>
      </c>
      <c r="M343" s="31">
        <f>'Working counts'!M372/('Working counts'!M$28-'Working counts'!M373)</f>
        <v>0.0134561218202623</v>
      </c>
      <c r="N343" s="31">
        <f>'Working counts'!N372/('Working counts'!N$28-'Working counts'!N373)</f>
        <v>0.011538913143259716</v>
      </c>
      <c r="O343" s="31">
        <f>'Working counts'!O372/('Working counts'!O$28-'Working counts'!O373)</f>
        <v>0.012227983724650284</v>
      </c>
      <c r="P343" s="31">
        <f>'Working counts'!P372/('Working counts'!P$28-'Working counts'!P373)</f>
        <v>0.012119420632574637</v>
      </c>
      <c r="Q343" s="31">
        <f>'Working counts'!Q372/('Working counts'!Q$28-'Working counts'!Q373)</f>
        <v>0.010993622879837859</v>
      </c>
      <c r="R343" s="31">
        <f>'Working counts'!R372/('Working counts'!R$28-'Working counts'!R373)</f>
        <v>0.011740227366389579</v>
      </c>
      <c r="S343" s="31">
        <f>'Working counts'!S372/('Working counts'!S$28-'Working counts'!S373)</f>
        <v>0.011507446280750561</v>
      </c>
      <c r="T343" s="31">
        <f>'Working counts'!T372/('Working counts'!T$28-'Working counts'!T373)</f>
        <v>0.010803587393305164</v>
      </c>
      <c r="U343" s="31">
        <f>'Working counts'!U372/('Working counts'!U$28-'Working counts'!U373)</f>
        <v>0.009240188205060373</v>
      </c>
      <c r="V343" s="31">
        <f>'Working counts'!V372/('Working counts'!V$28-'Working counts'!V373)</f>
        <v>0.009010663996840296</v>
      </c>
      <c r="W343" t="s">
        <v>333</v>
      </c>
      <c r="X343" s="59">
        <f>V343-B343</f>
        <v>-0.01055282923231107</v>
      </c>
      <c r="AM343" s="9"/>
      <c r="AN343" s="9"/>
    </row>
    <row r="344" spans="1:40" ht="12.75">
      <c r="A344" s="18"/>
      <c r="AM344" s="9"/>
      <c r="AN344" s="9"/>
    </row>
    <row r="345" spans="1:40" ht="12.75">
      <c r="A345" s="18" t="s">
        <v>263</v>
      </c>
      <c r="B345" s="31">
        <f>'Working counts'!B374/('Working counts'!B$28-'Working counts'!B375)</f>
        <v>0.06036400404448938</v>
      </c>
      <c r="C345" s="31">
        <f>'Working counts'!C374/('Working counts'!C$28-'Working counts'!C375)</f>
        <v>0.056909304331838946</v>
      </c>
      <c r="D345" s="31">
        <f>'Working counts'!D374/('Working counts'!D$28-'Working counts'!D375)</f>
        <v>0.05313976296378153</v>
      </c>
      <c r="E345" s="31">
        <f>'Working counts'!E374/('Working counts'!E$28-'Working counts'!E375)</f>
        <v>0.05340390681052104</v>
      </c>
      <c r="F345" s="31">
        <f>'Working counts'!F374/('Working counts'!F$28-'Working counts'!F375)</f>
        <v>0.05179781413490595</v>
      </c>
      <c r="G345" s="31">
        <f>'Working counts'!G374/('Working counts'!G$28-'Working counts'!G375)</f>
        <v>0.059589325580187945</v>
      </c>
      <c r="H345" s="31">
        <f>'Working counts'!H374/('Working counts'!H$28-'Working counts'!H375)</f>
        <v>0.05954838545250656</v>
      </c>
      <c r="I345" s="31">
        <f>'Working counts'!I374/('Working counts'!I$28-'Working counts'!I375)</f>
        <v>0.05574934673618144</v>
      </c>
      <c r="J345" s="31">
        <f>'Working counts'!J374/('Working counts'!J$28-'Working counts'!J375)</f>
        <v>0.05594683425434319</v>
      </c>
      <c r="K345" s="31">
        <f>'Working counts'!K374/('Working counts'!K$28-'Working counts'!K375)</f>
        <v>0.061680162901927356</v>
      </c>
      <c r="L345" s="31">
        <f>'Working counts'!L374/('Working counts'!L$28-'Working counts'!L375)</f>
        <v>0.0630138535482047</v>
      </c>
      <c r="M345" s="31">
        <f>'Working counts'!M374/('Working counts'!M$28-'Working counts'!M375)</f>
        <v>0.057092245400933016</v>
      </c>
      <c r="N345" s="31">
        <f>'Working counts'!N374/('Working counts'!N$28-'Working counts'!N375)</f>
        <v>0.052656298367900256</v>
      </c>
      <c r="O345" s="31">
        <f>'Working counts'!O374/('Working counts'!O$28-'Working counts'!O375)</f>
        <v>0.05051155700129902</v>
      </c>
      <c r="P345" s="31">
        <f>'Working counts'!P374/('Working counts'!P$28-'Working counts'!P375)</f>
        <v>0.047949833199611505</v>
      </c>
      <c r="Q345" s="31">
        <f>'Working counts'!Q374/('Working counts'!Q$28-'Working counts'!Q375)</f>
        <v>0.04633904169183053</v>
      </c>
      <c r="R345" s="31">
        <f>'Working counts'!R374/('Working counts'!R$28-'Working counts'!R375)</f>
        <v>0.057776392895554196</v>
      </c>
      <c r="S345" s="31">
        <f>'Working counts'!S374/('Working counts'!S$28-'Working counts'!S375)</f>
        <v>0.05520266918280595</v>
      </c>
      <c r="T345" s="31">
        <f>'Working counts'!T374/('Working counts'!T$28-'Working counts'!T375)</f>
        <v>0.05361327297879749</v>
      </c>
      <c r="U345" s="31">
        <f>'Working counts'!U374/('Working counts'!U$28-'Working counts'!U375)</f>
        <v>0.04943217248351316</v>
      </c>
      <c r="V345" s="31">
        <f>'Working counts'!V374/('Working counts'!V$28-'Working counts'!V375)</f>
        <v>0.04813954129198777</v>
      </c>
      <c r="W345" t="s">
        <v>333</v>
      </c>
      <c r="X345" s="59">
        <f>V345-B345</f>
        <v>-0.012224462752501615</v>
      </c>
      <c r="AM345" s="9"/>
      <c r="AN345" s="9"/>
    </row>
    <row r="346" spans="1:40" ht="12.75">
      <c r="A346" s="18"/>
      <c r="AM346" s="9"/>
      <c r="AN346" s="9"/>
    </row>
    <row r="347" spans="1:40" ht="12.75">
      <c r="A347" s="18" t="s">
        <v>297</v>
      </c>
      <c r="AM347" s="9"/>
      <c r="AN347" s="9"/>
    </row>
    <row r="348" spans="1:40" ht="12.75">
      <c r="A348" s="18" t="s">
        <v>264</v>
      </c>
      <c r="B348" s="31">
        <f>'Working counts'!B378/('Working counts'!B$28-'Working counts'!B379)</f>
        <v>0.07893867995317706</v>
      </c>
      <c r="C348" s="31">
        <f>'Working counts'!C378/('Working counts'!C$28-'Working counts'!C379)</f>
        <v>0.06983120807842559</v>
      </c>
      <c r="D348" s="31">
        <f>'Working counts'!D378/('Working counts'!D$28-'Working counts'!D379)</f>
        <v>0.06451659244361442</v>
      </c>
      <c r="E348" s="31">
        <f>'Working counts'!E378/('Working counts'!E$28-'Working counts'!E379)</f>
        <v>0.06155036578503095</v>
      </c>
      <c r="F348" s="31">
        <f>'Working counts'!F378/('Working counts'!F$28-'Working counts'!F379)</f>
        <v>0.06250864908250532</v>
      </c>
      <c r="G348" s="31">
        <f>'Working counts'!G378/('Working counts'!G$28-'Working counts'!G379)</f>
        <v>0.06393411276223776</v>
      </c>
      <c r="H348" s="31">
        <f>'Working counts'!H378/('Working counts'!H$28-'Working counts'!H379)</f>
        <v>0.07419916618291203</v>
      </c>
      <c r="I348" s="31">
        <f>'Working counts'!I378/('Working counts'!I$28-'Working counts'!I379)</f>
        <v>0.06725127177632349</v>
      </c>
      <c r="J348" s="31">
        <f>'Working counts'!J378/('Working counts'!J$28-'Working counts'!J379)</f>
        <v>0.06264539502955571</v>
      </c>
      <c r="K348" s="31">
        <f>'Working counts'!K378/('Working counts'!K$28-'Working counts'!K379)</f>
        <v>0.07714018092632305</v>
      </c>
      <c r="L348" s="31">
        <f>'Working counts'!L378/('Working counts'!L$28-'Working counts'!L379)</f>
        <v>0.08779520869909951</v>
      </c>
      <c r="M348" s="31">
        <f>'Working counts'!M378/('Working counts'!M$28-'Working counts'!M379)</f>
        <v>0.07541880945549252</v>
      </c>
      <c r="N348" s="31">
        <f>'Working counts'!N378/('Working counts'!N$28-'Working counts'!N379)</f>
        <v>0.07269847046357049</v>
      </c>
      <c r="O348" s="31">
        <f>'Working counts'!O378/('Working counts'!O$28-'Working counts'!O379)</f>
        <v>0.06760742271592181</v>
      </c>
      <c r="P348" s="31">
        <f>'Working counts'!P378/('Working counts'!P$28-'Working counts'!P379)</f>
        <v>0.0757252198917456</v>
      </c>
      <c r="Q348" s="31">
        <f>'Working counts'!Q378/('Working counts'!Q$28-'Working counts'!Q379)</f>
        <v>0.07465477560414269</v>
      </c>
      <c r="R348" s="31">
        <f>'Working counts'!R378/('Working counts'!R$28-'Working counts'!R379)</f>
        <v>0.06805421595004822</v>
      </c>
      <c r="S348" s="31">
        <f>'Working counts'!S378/('Working counts'!S$28-'Working counts'!S379)</f>
        <v>0.06082180434075199</v>
      </c>
      <c r="T348" s="31">
        <f>'Working counts'!T378/('Working counts'!T$28-'Working counts'!T379)</f>
        <v>0.061291214290480324</v>
      </c>
      <c r="U348" s="31">
        <f>'Working counts'!U378/('Working counts'!U$28-'Working counts'!U379)</f>
        <v>0.0506614263803681</v>
      </c>
      <c r="V348" s="31">
        <f>'Working counts'!V378/('Working counts'!V$28-'Working counts'!V379)</f>
        <v>0.054049542322423885</v>
      </c>
      <c r="W348" t="s">
        <v>333</v>
      </c>
      <c r="X348" s="59">
        <f>V348-B348</f>
        <v>-0.024889137630753178</v>
      </c>
      <c r="AM348" s="9"/>
      <c r="AN348" s="9"/>
    </row>
    <row r="349" spans="1:40" ht="12.75">
      <c r="A349" s="18"/>
      <c r="AM349" s="9"/>
      <c r="AN349" s="9"/>
    </row>
    <row r="350" spans="1:40" ht="12.75">
      <c r="A350" s="18" t="s">
        <v>265</v>
      </c>
      <c r="B350" s="31">
        <f>'Working counts'!B380/('Working counts'!B382-'Working counts'!B381)</f>
        <v>0.29560981781376516</v>
      </c>
      <c r="C350" s="31">
        <f>'Working counts'!C380/('Working counts'!C382-'Working counts'!C381)</f>
        <v>0.27459780650463034</v>
      </c>
      <c r="D350" s="31">
        <f>'Working counts'!D380/('Working counts'!D382-'Working counts'!D381)</f>
        <v>0.26397757358666873</v>
      </c>
      <c r="E350" s="31">
        <f>'Working counts'!E380/('Working counts'!E382-'Working counts'!E381)</f>
        <v>0.2327286167493147</v>
      </c>
      <c r="F350" s="31">
        <f>'Working counts'!F380/('Working counts'!F382-'Working counts'!F381)</f>
        <v>0.2499156519338711</v>
      </c>
      <c r="G350" s="31">
        <f>'Working counts'!G380/('Working counts'!G382-'Working counts'!G381)</f>
        <v>0.2550835696614976</v>
      </c>
      <c r="H350" s="14" t="s">
        <v>242</v>
      </c>
      <c r="I350" s="14" t="s">
        <v>242</v>
      </c>
      <c r="J350" s="14" t="s">
        <v>242</v>
      </c>
      <c r="K350" s="31">
        <f>'Working counts'!K380/('Working counts'!K382-'Working counts'!K381)</f>
        <v>0.27381698080974887</v>
      </c>
      <c r="L350" s="31">
        <f>'Working counts'!L380/('Working counts'!L382-'Working counts'!L381)</f>
        <v>0.21468183434056168</v>
      </c>
      <c r="M350" s="31">
        <f>'Working counts'!M380/('Working counts'!M382-'Working counts'!M381)</f>
        <v>0.19433536055603823</v>
      </c>
      <c r="N350" s="31">
        <f>'Working counts'!N380/('Working counts'!N382-'Working counts'!N381)</f>
        <v>0.1823206281805008</v>
      </c>
      <c r="O350" s="31">
        <f>'Working counts'!O380/('Working counts'!O382-'Working counts'!O381)</f>
        <v>0.1663008436792647</v>
      </c>
      <c r="P350" s="31">
        <f>'Working counts'!P380/('Working counts'!P382-'Working counts'!P381)</f>
        <v>0.2081402377594197</v>
      </c>
      <c r="Q350" s="31">
        <f>'Working counts'!Q380/('Working counts'!Q382-'Working counts'!Q381)</f>
        <v>0.16333002973240832</v>
      </c>
      <c r="R350" s="31">
        <f>'Working counts'!R380/('Working counts'!R382-'Working counts'!R381)</f>
        <v>0.1444234404536862</v>
      </c>
      <c r="S350" s="31">
        <f>'Working counts'!S380/('Working counts'!S382-'Working counts'!S381)</f>
        <v>0.12893710465078168</v>
      </c>
      <c r="T350" s="31">
        <f>'Working counts'!T380/('Working counts'!T382-'Working counts'!T381)</f>
        <v>0.12164078006364008</v>
      </c>
      <c r="U350" s="31">
        <f>'Working counts'!U380/('Working counts'!U382-'Working counts'!U381)</f>
        <v>0.11352036772864162</v>
      </c>
      <c r="V350" s="31">
        <f>'Working counts'!V380/('Working counts'!V382-'Working counts'!V381)</f>
        <v>0.10852333588370314</v>
      </c>
      <c r="W350" t="s">
        <v>333</v>
      </c>
      <c r="X350" s="59">
        <f>V350-B350</f>
        <v>-0.18708648193006203</v>
      </c>
      <c r="Z350">
        <f>SUM(T350:V350)/3</f>
        <v>0.1145614945586616</v>
      </c>
      <c r="AM350" s="9"/>
      <c r="AN350" s="9"/>
    </row>
    <row r="351" spans="1:40" ht="12.75">
      <c r="A351" s="18"/>
      <c r="H351" s="14"/>
      <c r="I351" s="14"/>
      <c r="J351" s="14"/>
      <c r="K351" s="1"/>
      <c r="AM351" s="9"/>
      <c r="AN351" s="9"/>
    </row>
    <row r="352" spans="1:40" ht="12.75">
      <c r="A352" s="18"/>
      <c r="H352" s="50"/>
      <c r="I352" s="50"/>
      <c r="J352" s="50"/>
      <c r="K352" s="1"/>
      <c r="AM352" s="9"/>
      <c r="AN352" s="9"/>
    </row>
    <row r="353" spans="1:40" ht="12.75">
      <c r="A353" s="18"/>
      <c r="H353" s="1"/>
      <c r="I353" s="1"/>
      <c r="J353" s="1"/>
      <c r="K353" s="1"/>
      <c r="AM353" s="9"/>
      <c r="AN353" s="9"/>
    </row>
    <row r="354" ht="12.75">
      <c r="A354" s="18" t="s">
        <v>359</v>
      </c>
    </row>
    <row r="355" spans="1:24" ht="12.75">
      <c r="A355" s="18" t="s">
        <v>33</v>
      </c>
      <c r="B355" s="70">
        <f>'Working counts'!B385/'Working counts'!B$21</f>
        <v>0.5317227365093701</v>
      </c>
      <c r="C355" s="70">
        <f>'Working counts'!C385/'Working counts'!C$21</f>
        <v>0.5067996731940015</v>
      </c>
      <c r="D355" s="70">
        <f>'Working counts'!D385/'Working counts'!D$21</f>
        <v>0.5059249803360283</v>
      </c>
      <c r="E355" s="70">
        <f>'Working counts'!E385/'Working counts'!E$21</f>
        <v>0.4894977053810076</v>
      </c>
      <c r="F355" s="70">
        <f>'Working counts'!F385/'Working counts'!F$21</f>
        <v>0.48381981267654495</v>
      </c>
      <c r="G355" s="50" t="s">
        <v>242</v>
      </c>
      <c r="H355" s="50" t="s">
        <v>242</v>
      </c>
      <c r="I355" s="50" t="s">
        <v>242</v>
      </c>
      <c r="J355" s="50" t="s">
        <v>242</v>
      </c>
      <c r="K355" s="50" t="s">
        <v>242</v>
      </c>
      <c r="L355" s="70">
        <f>'Working counts'!L385/'Working counts'!L$21</f>
        <v>0.3861952061520016</v>
      </c>
      <c r="M355" s="70">
        <f>'Working counts'!M385/'Working counts'!M$21</f>
        <v>0.7209738015328357</v>
      </c>
      <c r="N355" s="70">
        <f>'Working counts'!N385/'Working counts'!N$21</f>
        <v>0.32451838879159367</v>
      </c>
      <c r="O355" s="70">
        <f>'Working counts'!O385/'Working counts'!O$21</f>
        <v>0.30463166575041234</v>
      </c>
      <c r="P355" s="70">
        <f>'Working counts'!P385/'Working counts'!P$21</f>
        <v>0.29437221073781417</v>
      </c>
      <c r="Q355" s="70">
        <f>'Working counts'!Q385/'Working counts'!Q$21</f>
        <v>0.26114865182372676</v>
      </c>
      <c r="R355" s="70">
        <f>'Working counts'!R385/'Working counts'!R$21</f>
        <v>0.22752790980941653</v>
      </c>
      <c r="S355" s="70">
        <f>'Working counts'!S385/'Working counts'!S$21</f>
        <v>0.1876001852313611</v>
      </c>
      <c r="T355" s="70">
        <f>'Working counts'!T385/'Working counts'!T$21</f>
        <v>0.16492011237697995</v>
      </c>
      <c r="U355" s="70">
        <f>'Working counts'!U385/'Working counts'!U$21</f>
        <v>0.14538737831773468</v>
      </c>
      <c r="V355" s="70">
        <f>'Working counts'!V385/'Working counts'!V$21</f>
        <v>0.1256015000165931</v>
      </c>
      <c r="W355" t="s">
        <v>333</v>
      </c>
      <c r="X355" s="59">
        <f>V355-B355</f>
        <v>-0.406121236492777</v>
      </c>
    </row>
    <row r="356" spans="1:24" ht="12.75">
      <c r="A356" s="18" t="s">
        <v>244</v>
      </c>
      <c r="B356" s="70">
        <f>'Working counts'!B386/'Working counts'!B$21</f>
        <v>0.30055914892486685</v>
      </c>
      <c r="C356" s="70">
        <f>'Working counts'!C386/'Working counts'!C$21</f>
        <v>0.3039427562396226</v>
      </c>
      <c r="D356" s="70">
        <f>'Working counts'!D386/'Working counts'!D$21</f>
        <v>0.293747501708509</v>
      </c>
      <c r="E356" s="70">
        <f>'Working counts'!E386/'Working counts'!E$21</f>
        <v>0.29585455645771347</v>
      </c>
      <c r="F356" s="70">
        <f>'Working counts'!F386/'Working counts'!F$21</f>
        <v>0.2922468903315328</v>
      </c>
      <c r="G356" s="71" t="s">
        <v>242</v>
      </c>
      <c r="H356" s="71" t="s">
        <v>242</v>
      </c>
      <c r="I356" s="71" t="s">
        <v>242</v>
      </c>
      <c r="J356" s="71" t="s">
        <v>242</v>
      </c>
      <c r="K356" s="71" t="s">
        <v>242</v>
      </c>
      <c r="L356" s="70">
        <f>'Working counts'!L386/'Working counts'!L$21</f>
        <v>0.28182203433627223</v>
      </c>
      <c r="M356" s="70">
        <f>'Working counts'!M386/'Working counts'!M$21</f>
        <v>0.27902619846716425</v>
      </c>
      <c r="N356" s="70">
        <f>'Working counts'!N386/'Working counts'!N$21</f>
        <v>0.2784393850943763</v>
      </c>
      <c r="O356" s="70">
        <f>'Working counts'!O386/'Working counts'!O$21</f>
        <v>0.277065499096835</v>
      </c>
      <c r="P356" s="70">
        <f>'Working counts'!P386/'Working counts'!P$21</f>
        <v>0.2659627905179575</v>
      </c>
      <c r="Q356" s="70">
        <f>'Working counts'!Q386/'Working counts'!Q$21</f>
        <v>0.2689021926073513</v>
      </c>
      <c r="R356" s="70">
        <f>'Working counts'!R386/'Working counts'!R$21</f>
        <v>0.257841763515308</v>
      </c>
      <c r="S356" s="70">
        <f>'Working counts'!S386/'Working counts'!S$21</f>
        <v>0.2561714102518434</v>
      </c>
      <c r="T356" s="70">
        <f>'Working counts'!T386/'Working counts'!T$21</f>
        <v>0.24710008790223892</v>
      </c>
      <c r="U356" s="70">
        <f>'Working counts'!U386/'Working counts'!U$21</f>
        <v>0.24718669749426248</v>
      </c>
      <c r="V356" s="70">
        <f>'Working counts'!V386/'Working counts'!V$21</f>
        <v>0.2202236750406531</v>
      </c>
      <c r="W356" t="s">
        <v>333</v>
      </c>
      <c r="X356" s="59">
        <f>V356-B356</f>
        <v>-0.08033547388421375</v>
      </c>
    </row>
    <row r="357" spans="1:24" ht="12.75">
      <c r="A357" s="18" t="s">
        <v>245</v>
      </c>
      <c r="B357" s="70">
        <f>'Working counts'!B387/'Working counts'!B$21</f>
        <v>0.16771811456576308</v>
      </c>
      <c r="C357" s="70">
        <f>'Working counts'!C387/'Working counts'!C$21</f>
        <v>0.18925757056637588</v>
      </c>
      <c r="D357" s="70">
        <f>'Working counts'!D387/'Working counts'!D$21</f>
        <v>0.20032751795546272</v>
      </c>
      <c r="E357" s="70">
        <f>'Working counts'!E387/'Working counts'!E$21</f>
        <v>0.21463513036461748</v>
      </c>
      <c r="F357" s="70">
        <f>'Working counts'!F387/'Working counts'!F$21</f>
        <v>0.2239332969919223</v>
      </c>
      <c r="G357" s="71" t="s">
        <v>242</v>
      </c>
      <c r="H357" s="71" t="s">
        <v>242</v>
      </c>
      <c r="I357" s="71" t="s">
        <v>242</v>
      </c>
      <c r="J357" s="71" t="s">
        <v>242</v>
      </c>
      <c r="K357" s="71" t="s">
        <v>242</v>
      </c>
      <c r="L357" s="70">
        <f>'Working counts'!L387/'Working counts'!L$21</f>
        <v>0.33198275951172623</v>
      </c>
      <c r="M357" s="70">
        <f>'Working counts'!M387/'Working counts'!M$21</f>
        <v>0.36290136752993035</v>
      </c>
      <c r="N357" s="70">
        <f>'Working counts'!N387/'Working counts'!N$21</f>
        <v>0.39704222611402995</v>
      </c>
      <c r="O357" s="70">
        <f>'Working counts'!O387/'Working counts'!O$21</f>
        <v>0.4183028351527527</v>
      </c>
      <c r="P357" s="70">
        <f>'Working counts'!P387/'Working counts'!P$21</f>
        <v>0.43966499874422826</v>
      </c>
      <c r="Q357" s="70">
        <f>'Working counts'!Q387/'Working counts'!Q$21</f>
        <v>0.4699491555689219</v>
      </c>
      <c r="R357" s="70">
        <f>'Working counts'!R387/'Working counts'!R$21</f>
        <v>0.5146303266752754</v>
      </c>
      <c r="S357" s="70">
        <f>'Working counts'!S387/'Working counts'!S$21</f>
        <v>0.5562284045167954</v>
      </c>
      <c r="T357" s="70">
        <f>'Working counts'!T387/'Working counts'!T$21</f>
        <v>0.5879797997207811</v>
      </c>
      <c r="U357" s="70">
        <f>'Working counts'!U387/'Working counts'!U$21</f>
        <v>0.6074259241880028</v>
      </c>
      <c r="V357" s="70">
        <f>'Working counts'!V387/'Working counts'!V$21</f>
        <v>0.6541748249427538</v>
      </c>
      <c r="W357" t="s">
        <v>333</v>
      </c>
      <c r="X357" s="59">
        <f>V357-B357</f>
        <v>0.48645671037699073</v>
      </c>
    </row>
    <row r="358" spans="2:12" ht="12.75">
      <c r="B358" s="31">
        <f>SUM(B355:B357)</f>
        <v>1</v>
      </c>
      <c r="C358" s="31">
        <f>SUM(C355:C357)</f>
        <v>1</v>
      </c>
      <c r="D358" s="31">
        <f>SUM(D355:D357)</f>
        <v>1</v>
      </c>
      <c r="E358" s="31">
        <f>SUM(E355:E357)</f>
        <v>0.9999873922033385</v>
      </c>
      <c r="F358" s="31">
        <f>SUM(F355:F357)</f>
        <v>1</v>
      </c>
      <c r="J358" s="52"/>
      <c r="K358" s="56" t="s">
        <v>321</v>
      </c>
      <c r="L358" s="31">
        <f>SUM(L355:L357)</f>
        <v>1</v>
      </c>
    </row>
    <row r="359" spans="10:11" ht="12.75">
      <c r="J359" s="52"/>
      <c r="K359" s="56"/>
    </row>
    <row r="360" spans="1:40" ht="12.75">
      <c r="A360" s="5" t="s">
        <v>240</v>
      </c>
      <c r="B360" s="14" t="s">
        <v>242</v>
      </c>
      <c r="C360" s="14" t="s">
        <v>242</v>
      </c>
      <c r="D360" s="14" t="s">
        <v>242</v>
      </c>
      <c r="E360" s="14" t="s">
        <v>242</v>
      </c>
      <c r="F360" s="14" t="s">
        <v>242</v>
      </c>
      <c r="G360" s="14" t="s">
        <v>242</v>
      </c>
      <c r="H360" s="14" t="s">
        <v>242</v>
      </c>
      <c r="I360" s="14" t="s">
        <v>242</v>
      </c>
      <c r="J360" s="14" t="s">
        <v>242</v>
      </c>
      <c r="K360" s="14" t="s">
        <v>242</v>
      </c>
      <c r="L360" s="31">
        <f>'Working counts'!L389/'Working counts'!L$28</f>
        <v>0.01763076053152389</v>
      </c>
      <c r="M360" s="31">
        <f>'Working counts'!M389/'Working counts'!M$28</f>
        <v>0.013467124372854503</v>
      </c>
      <c r="N360" s="31">
        <f>'Working counts'!N389/'Working counts'!N$28</f>
        <v>0.033741447220947234</v>
      </c>
      <c r="O360" s="31">
        <f>'Working counts'!O389/'Working counts'!O$28</f>
        <v>0.03085445586009211</v>
      </c>
      <c r="P360" s="31">
        <f>'Working counts'!P389/'Working counts'!P$28</f>
        <v>0.02006883155272159</v>
      </c>
      <c r="Q360" s="31">
        <f>'Working counts'!Q389/'Working counts'!Q$28</f>
        <v>0.02069749112014167</v>
      </c>
      <c r="R360" s="31">
        <f>'Working counts'!R389/'Working counts'!R$28</f>
        <v>0.01805260988872918</v>
      </c>
      <c r="S360" s="31">
        <f>'Working counts'!S389/'Working counts'!S$28</f>
        <v>0.01996050698909565</v>
      </c>
      <c r="T360" s="31">
        <f>'Working counts'!T389/'Working counts'!T$28</f>
        <v>0.020007340416521583</v>
      </c>
      <c r="U360" s="31">
        <f>'Working counts'!U389/'Working counts'!U$28</f>
        <v>0.018612649042913022</v>
      </c>
      <c r="V360" s="31">
        <f>'Working counts'!V389/'Working counts'!V$28</f>
        <v>0.018563253759035923</v>
      </c>
      <c r="W360" t="s">
        <v>333</v>
      </c>
      <c r="X360" s="59">
        <f aca="true" t="shared" si="34" ref="X360:X365">V360-L360</f>
        <v>0.000932493227512033</v>
      </c>
      <c r="Y360" s="59">
        <f aca="true" t="shared" si="35" ref="Y360:Y365">AA360-AC360</f>
        <v>0.020274322848092732</v>
      </c>
      <c r="Z360" t="s">
        <v>373</v>
      </c>
      <c r="AA360" s="59">
        <f aca="true" t="shared" si="36" ref="AA360:AA365">MAX(L360:V360)</f>
        <v>0.033741447220947234</v>
      </c>
      <c r="AB360" t="s">
        <v>374</v>
      </c>
      <c r="AC360" s="59">
        <f aca="true" t="shared" si="37" ref="AC360:AC365">MIN(L360:V360)</f>
        <v>0.013467124372854503</v>
      </c>
      <c r="AM360" s="9"/>
      <c r="AN360" s="9"/>
    </row>
    <row r="361" spans="1:40" ht="12.75">
      <c r="A361" s="2" t="s">
        <v>53</v>
      </c>
      <c r="B361" s="14" t="s">
        <v>242</v>
      </c>
      <c r="C361" s="14" t="s">
        <v>242</v>
      </c>
      <c r="D361" s="14" t="s">
        <v>242</v>
      </c>
      <c r="E361" s="14" t="s">
        <v>242</v>
      </c>
      <c r="F361" s="14" t="s">
        <v>242</v>
      </c>
      <c r="G361" s="14" t="s">
        <v>242</v>
      </c>
      <c r="H361" s="14" t="s">
        <v>242</v>
      </c>
      <c r="I361" s="14" t="s">
        <v>242</v>
      </c>
      <c r="J361" s="14" t="s">
        <v>242</v>
      </c>
      <c r="K361" s="14" t="s">
        <v>242</v>
      </c>
      <c r="L361" s="31">
        <f>'Working counts'!L390/'Working counts'!L$28</f>
        <v>0.007463952502120441</v>
      </c>
      <c r="M361" s="31">
        <f>'Working counts'!M390/'Working counts'!M$28</f>
        <v>0.006315465187923599</v>
      </c>
      <c r="N361" s="31">
        <f>'Working counts'!N390/'Working counts'!N$28</f>
        <v>0.026995292635803723</v>
      </c>
      <c r="O361" s="31">
        <f>'Working counts'!O390/'Working counts'!O$28</f>
        <v>0.024455967449300568</v>
      </c>
      <c r="P361" s="31">
        <f>'Working counts'!P390/'Working counts'!P$28</f>
        <v>0.014558084540348803</v>
      </c>
      <c r="Q361" s="31">
        <f>'Working counts'!Q390/'Working counts'!Q$28</f>
        <v>0.01493453983396968</v>
      </c>
      <c r="R361" s="31">
        <f>'Working counts'!R390/'Working counts'!R$28</f>
        <v>0.011750278930915597</v>
      </c>
      <c r="S361" s="31">
        <f>'Working counts'!S390/'Working counts'!S$28</f>
        <v>0.013968463955332043</v>
      </c>
      <c r="T361" s="31">
        <f>'Working counts'!T390/'Working counts'!T$28</f>
        <v>0.012949247607306537</v>
      </c>
      <c r="U361" s="31">
        <f>'Working counts'!U390/'Working counts'!U$28</f>
        <v>0.012802101245252358</v>
      </c>
      <c r="V361" s="31">
        <f>'Working counts'!V390/'Working counts'!V$28</f>
        <v>0.011913181655353584</v>
      </c>
      <c r="W361" t="s">
        <v>333</v>
      </c>
      <c r="X361" s="59">
        <f t="shared" si="34"/>
        <v>0.004449229153233143</v>
      </c>
      <c r="Y361" s="59">
        <f t="shared" si="35"/>
        <v>0.020679827447880123</v>
      </c>
      <c r="Z361" t="s">
        <v>373</v>
      </c>
      <c r="AA361" s="59">
        <f t="shared" si="36"/>
        <v>0.026995292635803723</v>
      </c>
      <c r="AB361" t="s">
        <v>374</v>
      </c>
      <c r="AC361" s="59">
        <f t="shared" si="37"/>
        <v>0.006315465187923599</v>
      </c>
      <c r="AM361" s="9"/>
      <c r="AN361" s="9"/>
    </row>
    <row r="362" spans="1:40" ht="12.75">
      <c r="A362" s="2" t="s">
        <v>54</v>
      </c>
      <c r="B362" s="14" t="s">
        <v>242</v>
      </c>
      <c r="C362" s="14" t="s">
        <v>242</v>
      </c>
      <c r="D362" s="14" t="s">
        <v>242</v>
      </c>
      <c r="E362" s="14" t="s">
        <v>242</v>
      </c>
      <c r="F362" s="14" t="s">
        <v>242</v>
      </c>
      <c r="G362" s="14" t="s">
        <v>242</v>
      </c>
      <c r="H362" s="14" t="s">
        <v>242</v>
      </c>
      <c r="I362" s="14" t="s">
        <v>242</v>
      </c>
      <c r="J362" s="14" t="s">
        <v>242</v>
      </c>
      <c r="K362" s="14" t="s">
        <v>242</v>
      </c>
      <c r="L362" s="31">
        <f>'Working counts'!L391/'Working counts'!L$28</f>
        <v>0.005360474978795589</v>
      </c>
      <c r="M362" s="31">
        <f>'Working counts'!M391/'Working counts'!M$28</f>
        <v>0.0037408678813484727</v>
      </c>
      <c r="N362" s="31">
        <f>'Working counts'!N391/'Working counts'!N$28</f>
        <v>0.004173649434796068</v>
      </c>
      <c r="O362" s="31">
        <f>'Working counts'!O391/'Working counts'!O$28</f>
        <v>0.003660880114228048</v>
      </c>
      <c r="P362" s="31">
        <f>'Working counts'!P391/'Working counts'!P$28</f>
        <v>0.0030298551581436593</v>
      </c>
      <c r="Q362" s="31">
        <f>'Working counts'!Q391/'Working counts'!Q$28</f>
        <v>0.003695249403744383</v>
      </c>
      <c r="R362" s="31">
        <f>'Working counts'!R391/'Working counts'!R$28</f>
        <v>0.004714183762702664</v>
      </c>
      <c r="S362" s="31">
        <f>'Working counts'!S391/'Working counts'!S$28</f>
        <v>0.004766397867766505</v>
      </c>
      <c r="T362" s="31">
        <f>'Working counts'!T391/'Working counts'!T$28</f>
        <v>0.005778225313144051</v>
      </c>
      <c r="U362" s="31">
        <f>'Working counts'!U391/'Working counts'!U$28</f>
        <v>0.004676782373726876</v>
      </c>
      <c r="V362" s="31">
        <f>'Working counts'!V391/'Working counts'!V$28</f>
        <v>0.005896887141663069</v>
      </c>
      <c r="W362" t="s">
        <v>333</v>
      </c>
      <c r="X362" s="59">
        <f t="shared" si="34"/>
        <v>0.0005364121628674799</v>
      </c>
      <c r="Y362" s="59">
        <f t="shared" si="35"/>
        <v>0.00286703198351941</v>
      </c>
      <c r="Z362" t="s">
        <v>373</v>
      </c>
      <c r="AA362" s="59">
        <f t="shared" si="36"/>
        <v>0.005896887141663069</v>
      </c>
      <c r="AB362" t="s">
        <v>374</v>
      </c>
      <c r="AC362" s="59">
        <f t="shared" si="37"/>
        <v>0.0030298551581436593</v>
      </c>
      <c r="AM362" s="9"/>
      <c r="AN362" s="9"/>
    </row>
    <row r="363" spans="1:40" ht="12.75">
      <c r="A363" s="2" t="s">
        <v>55</v>
      </c>
      <c r="B363" s="14" t="s">
        <v>242</v>
      </c>
      <c r="C363" s="14" t="s">
        <v>242</v>
      </c>
      <c r="D363" s="14" t="s">
        <v>242</v>
      </c>
      <c r="E363" s="14" t="s">
        <v>242</v>
      </c>
      <c r="F363" s="14" t="s">
        <v>242</v>
      </c>
      <c r="G363" s="14" t="s">
        <v>242</v>
      </c>
      <c r="H363" s="14" t="s">
        <v>242</v>
      </c>
      <c r="I363" s="14" t="s">
        <v>242</v>
      </c>
      <c r="J363" s="14" t="s">
        <v>242</v>
      </c>
      <c r="K363" s="14" t="s">
        <v>242</v>
      </c>
      <c r="L363" s="31">
        <f>'Working counts'!L392/'Working counts'!L$28</f>
        <v>0.0009273395532937517</v>
      </c>
      <c r="M363" s="31">
        <f>'Working counts'!M392/'Working counts'!M$28</f>
        <v>0.0010342399436669308</v>
      </c>
      <c r="N363" s="31">
        <f>'Working counts'!N392/'Working counts'!N$28</f>
        <v>0.0009286636849801992</v>
      </c>
      <c r="O363" s="31">
        <f>'Working counts'!O392/'Working counts'!O$28</f>
        <v>0.0007192931602735461</v>
      </c>
      <c r="P363" s="31">
        <f>'Working counts'!P392/'Working counts'!P$28</f>
        <v>0.0007389890629618681</v>
      </c>
      <c r="Q363" s="31">
        <f>'Working counts'!Q392/'Working counts'!Q$28</f>
        <v>0.0006244050239014055</v>
      </c>
      <c r="R363" s="31">
        <f>'Working counts'!R392/'Working counts'!R$28</f>
        <v>0.0010554142752319398</v>
      </c>
      <c r="S363" s="31">
        <f>'Working counts'!S392/'Working counts'!S$28</f>
        <v>0.0010116436290769724</v>
      </c>
      <c r="T363" s="31">
        <f>'Working counts'!T392/'Working counts'!T$28</f>
        <v>0.0007434524425706515</v>
      </c>
      <c r="U363" s="31">
        <f>'Working counts'!U392/'Working counts'!U$28</f>
        <v>0.0008786682035486858</v>
      </c>
      <c r="V363" s="31">
        <f>'Working counts'!V392/'Working counts'!V$28</f>
        <v>0.0006613331373827742</v>
      </c>
      <c r="W363" t="s">
        <v>333</v>
      </c>
      <c r="X363" s="59">
        <f t="shared" si="34"/>
        <v>-0.0002660064159109776</v>
      </c>
      <c r="Y363" s="59">
        <f t="shared" si="35"/>
        <v>0.0004310092513305344</v>
      </c>
      <c r="Z363" t="s">
        <v>373</v>
      </c>
      <c r="AA363" s="59">
        <f t="shared" si="36"/>
        <v>0.0010554142752319398</v>
      </c>
      <c r="AB363" t="s">
        <v>374</v>
      </c>
      <c r="AC363" s="59">
        <f t="shared" si="37"/>
        <v>0.0006244050239014055</v>
      </c>
      <c r="AM363" s="9"/>
      <c r="AN363" s="9"/>
    </row>
    <row r="364" spans="1:40" ht="12.75">
      <c r="A364" s="2" t="s">
        <v>56</v>
      </c>
      <c r="B364" s="14" t="s">
        <v>242</v>
      </c>
      <c r="C364" s="14" t="s">
        <v>242</v>
      </c>
      <c r="D364" s="14" t="s">
        <v>242</v>
      </c>
      <c r="E364" s="14" t="s">
        <v>242</v>
      </c>
      <c r="F364" s="14" t="s">
        <v>242</v>
      </c>
      <c r="G364" s="14" t="s">
        <v>242</v>
      </c>
      <c r="H364" s="14" t="s">
        <v>242</v>
      </c>
      <c r="I364" s="14" t="s">
        <v>242</v>
      </c>
      <c r="J364" s="14" t="s">
        <v>242</v>
      </c>
      <c r="K364" s="14" t="s">
        <v>242</v>
      </c>
      <c r="L364" s="31">
        <f>'Working counts'!L393/'Working counts'!L$28</f>
        <v>0.005122985581000848</v>
      </c>
      <c r="M364" s="31">
        <f>'Working counts'!M393/'Working counts'!M$28</f>
        <v>0.0033447759880292226</v>
      </c>
      <c r="N364" s="31">
        <f>'Working counts'!N393/'Working counts'!N$28</f>
        <v>0.0024871107885101884</v>
      </c>
      <c r="O364" s="31">
        <f>'Working counts'!O393/'Working counts'!O$28</f>
        <v>0.0026731939837031787</v>
      </c>
      <c r="P364" s="31">
        <f>'Working counts'!P393/'Working counts'!P$28</f>
        <v>0.0023225370550230143</v>
      </c>
      <c r="Q364" s="31">
        <f>'Working counts'!Q393/'Working counts'!Q$28</f>
        <v>0.0018629789237714063</v>
      </c>
      <c r="R364" s="31">
        <f>'Working counts'!R393/'Working counts'!R$28</f>
        <v>0.0012564455657523093</v>
      </c>
      <c r="S364" s="31">
        <f>'Working counts'!S393/'Working counts'!S$28</f>
        <v>0.0008754608328550723</v>
      </c>
      <c r="T364" s="31">
        <f>'Working counts'!T393/'Working counts'!T$28</f>
        <v>0.0010445977357638268</v>
      </c>
      <c r="U364" s="31">
        <f>'Working counts'!U393/'Working counts'!U$28</f>
        <v>0.0008219799323519964</v>
      </c>
      <c r="V364" s="31">
        <f>'Working counts'!V393/'Working counts'!V$28</f>
        <v>0.00048681467057343095</v>
      </c>
      <c r="W364" t="s">
        <v>333</v>
      </c>
      <c r="X364" s="59">
        <f t="shared" si="34"/>
        <v>-0.004636170910427417</v>
      </c>
      <c r="Y364" s="59">
        <f t="shared" si="35"/>
        <v>0.004636170910427417</v>
      </c>
      <c r="Z364" t="s">
        <v>373</v>
      </c>
      <c r="AA364" s="59">
        <f t="shared" si="36"/>
        <v>0.005122985581000848</v>
      </c>
      <c r="AB364" t="s">
        <v>374</v>
      </c>
      <c r="AC364" s="59">
        <f t="shared" si="37"/>
        <v>0.00048681467057343095</v>
      </c>
      <c r="AM364" s="9"/>
      <c r="AN364" s="9"/>
    </row>
    <row r="365" spans="1:40" ht="12.75">
      <c r="A365" s="2" t="s">
        <v>57</v>
      </c>
      <c r="B365" s="14" t="s">
        <v>242</v>
      </c>
      <c r="C365" s="14" t="s">
        <v>242</v>
      </c>
      <c r="D365" s="14" t="s">
        <v>242</v>
      </c>
      <c r="E365" s="14" t="s">
        <v>242</v>
      </c>
      <c r="F365" s="14" t="s">
        <v>242</v>
      </c>
      <c r="G365" s="14" t="s">
        <v>242</v>
      </c>
      <c r="H365" s="14" t="s">
        <v>242</v>
      </c>
      <c r="I365" s="14" t="s">
        <v>242</v>
      </c>
      <c r="J365" s="14" t="s">
        <v>242</v>
      </c>
      <c r="K365" s="14" t="s">
        <v>242</v>
      </c>
      <c r="L365" s="31">
        <f>'Working counts'!L394/'Working counts'!L$28</f>
        <v>0.00014701724625388747</v>
      </c>
      <c r="M365" s="31">
        <f>'Working counts'!M394/'Working counts'!M$28</f>
        <v>3.300765777660417E-05</v>
      </c>
      <c r="N365" s="31">
        <f>'Working counts'!N394/'Working counts'!N$28</f>
        <v>0</v>
      </c>
      <c r="O365" s="31">
        <f>'Working counts'!O394/'Working counts'!O$28</f>
        <v>3.220715643015878E-05</v>
      </c>
      <c r="P365" s="31">
        <f>'Working counts'!P394/'Working counts'!P$28</f>
        <v>6.334191968244584E-05</v>
      </c>
      <c r="Q365" s="31">
        <f>'Working counts'!Q394/'Working counts'!Q$28</f>
        <v>6.141688759685955E-05</v>
      </c>
      <c r="R365" s="31">
        <f>'Working counts'!R394/'Working counts'!R$28</f>
        <v>4.02062581040739E-05</v>
      </c>
      <c r="S365" s="31">
        <f>'Working counts'!S394/'Working counts'!S$28</f>
        <v>6.809139811095007E-05</v>
      </c>
      <c r="T365" s="31">
        <f>'Working counts'!T394/'Working counts'!T$28</f>
        <v>6.587553288600709E-05</v>
      </c>
      <c r="U365" s="31">
        <f>'Working counts'!U394/'Working counts'!U$28</f>
        <v>6.613631639613763E-05</v>
      </c>
      <c r="V365" s="31">
        <f>'Working counts'!V394/'Working counts'!V$28</f>
        <v>0</v>
      </c>
      <c r="W365" t="s">
        <v>333</v>
      </c>
      <c r="X365" s="59">
        <f t="shared" si="34"/>
        <v>-0.00014701724625388747</v>
      </c>
      <c r="Y365" s="59">
        <f t="shared" si="35"/>
        <v>0.00014701724625388747</v>
      </c>
      <c r="Z365" t="s">
        <v>373</v>
      </c>
      <c r="AA365" s="59">
        <f t="shared" si="36"/>
        <v>0.00014701724625388747</v>
      </c>
      <c r="AB365" t="s">
        <v>374</v>
      </c>
      <c r="AC365" s="59">
        <f t="shared" si="37"/>
        <v>0</v>
      </c>
      <c r="AM365" s="9"/>
      <c r="AN365" s="9"/>
    </row>
    <row r="366" spans="1:40" ht="12.75">
      <c r="A366" s="2"/>
      <c r="R366" s="10"/>
      <c r="S366" s="10"/>
      <c r="T366" s="10"/>
      <c r="U366" s="10"/>
      <c r="V366" s="10"/>
      <c r="AM366" s="9"/>
      <c r="AN366" s="9"/>
    </row>
    <row r="367" spans="1:40" ht="12.75">
      <c r="A367" s="5" t="s">
        <v>241</v>
      </c>
      <c r="B367" s="14" t="s">
        <v>242</v>
      </c>
      <c r="C367" s="14" t="s">
        <v>242</v>
      </c>
      <c r="D367" s="14" t="s">
        <v>242</v>
      </c>
      <c r="E367" s="14" t="s">
        <v>242</v>
      </c>
      <c r="F367" s="14" t="s">
        <v>242</v>
      </c>
      <c r="G367" s="14" t="s">
        <v>242</v>
      </c>
      <c r="H367" s="14" t="s">
        <v>242</v>
      </c>
      <c r="I367" s="14" t="s">
        <v>242</v>
      </c>
      <c r="J367" s="14" t="s">
        <v>242</v>
      </c>
      <c r="K367" s="14" t="s">
        <v>242</v>
      </c>
      <c r="L367" s="31">
        <f>'Working counts'!L396/'Working counts'!L$28</f>
        <v>0.06575063613231552</v>
      </c>
      <c r="M367" s="31">
        <f>'Working counts'!M396/'Working counts'!M$28</f>
        <v>0.05703723263797201</v>
      </c>
      <c r="N367" s="31">
        <f>'Working counts'!N396/'Working counts'!N$28</f>
        <v>0.047415219410138446</v>
      </c>
      <c r="O367" s="31">
        <f>'Working counts'!O396/'Working counts'!O$28</f>
        <v>0.04864354192834981</v>
      </c>
      <c r="P367" s="31">
        <f>'Working counts'!P396/'Working counts'!P$28</f>
        <v>0.044603268443055615</v>
      </c>
      <c r="Q367" s="31">
        <f>'Working counts'!Q396/'Working counts'!Q$28</f>
        <v>0.04450677121185755</v>
      </c>
      <c r="R367" s="31">
        <f>'Working counts'!R396/'Working counts'!R$28</f>
        <v>0.052177671454561904</v>
      </c>
      <c r="S367" s="31">
        <f>'Working counts'!S396/'Working counts'!S$28</f>
        <v>0.04694415532620643</v>
      </c>
      <c r="T367" s="31">
        <f>'Working counts'!T396/'Working counts'!T$28</f>
        <v>0.04269675610054489</v>
      </c>
      <c r="U367" s="31">
        <f>'Working counts'!U396/'Working counts'!U$28</f>
        <v>0.04081555526161637</v>
      </c>
      <c r="V367" s="31">
        <f>'Working counts'!V396/'Working counts'!V$28</f>
        <v>0.03834813678573725</v>
      </c>
      <c r="W367" t="s">
        <v>333</v>
      </c>
      <c r="X367" s="59">
        <f aca="true" t="shared" si="38" ref="X367:X372">V367-L367</f>
        <v>-0.02740249934657827</v>
      </c>
      <c r="Y367" s="59">
        <f aca="true" t="shared" si="39" ref="Y367:Y372">AA367-AC367</f>
        <v>0.02740249934657827</v>
      </c>
      <c r="Z367" t="s">
        <v>373</v>
      </c>
      <c r="AA367" s="59">
        <f aca="true" t="shared" si="40" ref="AA367:AA372">MAX(L367:V367)</f>
        <v>0.06575063613231552</v>
      </c>
      <c r="AB367" t="s">
        <v>374</v>
      </c>
      <c r="AC367" s="59">
        <f aca="true" t="shared" si="41" ref="AC367:AC372">MIN(L367:V367)</f>
        <v>0.03834813678573725</v>
      </c>
      <c r="AM367" s="9"/>
      <c r="AN367" s="9"/>
    </row>
    <row r="368" spans="1:40" ht="12.75">
      <c r="A368" s="2" t="s">
        <v>53</v>
      </c>
      <c r="B368" s="14" t="s">
        <v>242</v>
      </c>
      <c r="C368" s="14" t="s">
        <v>242</v>
      </c>
      <c r="D368" s="14" t="s">
        <v>242</v>
      </c>
      <c r="E368" s="14" t="s">
        <v>242</v>
      </c>
      <c r="F368" s="14" t="s">
        <v>242</v>
      </c>
      <c r="G368" s="14" t="s">
        <v>242</v>
      </c>
      <c r="H368" s="14" t="s">
        <v>242</v>
      </c>
      <c r="I368" s="14" t="s">
        <v>242</v>
      </c>
      <c r="J368" s="14" t="s">
        <v>242</v>
      </c>
      <c r="K368" s="14" t="s">
        <v>242</v>
      </c>
      <c r="L368" s="31">
        <f>'Working counts'!L397/'Working counts'!L$28</f>
        <v>0.0030986711902742437</v>
      </c>
      <c r="M368" s="31">
        <f>'Working counts'!M397/'Working counts'!M$28</f>
        <v>0.0036418449080186602</v>
      </c>
      <c r="N368" s="31">
        <f>'Working counts'!N397/'Working counts'!N$28</f>
        <v>0.002753968169251625</v>
      </c>
      <c r="O368" s="31">
        <f>'Working counts'!O397/'Working counts'!O$28</f>
        <v>0.0031670370489656134</v>
      </c>
      <c r="P368" s="31">
        <f>'Working counts'!P397/'Working counts'!P$28</f>
        <v>0.0030298551581436593</v>
      </c>
      <c r="Q368" s="31">
        <f>'Working counts'!Q397/'Working counts'!Q$28</f>
        <v>0.0028251768294555394</v>
      </c>
      <c r="R368" s="31">
        <f>'Working counts'!R397/'Working counts'!R$28</f>
        <v>0.003055675615909616</v>
      </c>
      <c r="S368" s="31">
        <f>'Working counts'!S397/'Working counts'!S$28</f>
        <v>0.0021302880266140093</v>
      </c>
      <c r="T368" s="31">
        <f>'Working counts'!T397/'Working counts'!T$28</f>
        <v>0.002456216297606836</v>
      </c>
      <c r="U368" s="31">
        <f>'Working counts'!U397/'Working counts'!U$28</f>
        <v>0.0018423688138924056</v>
      </c>
      <c r="V368" s="31">
        <f>'Working counts'!V397/'Working counts'!V$28</f>
        <v>0.0014237032818656943</v>
      </c>
      <c r="W368" t="s">
        <v>333</v>
      </c>
      <c r="X368" s="59">
        <f t="shared" si="38"/>
        <v>-0.0016749679084085494</v>
      </c>
      <c r="Y368" s="59">
        <f t="shared" si="39"/>
        <v>0.002218141626152966</v>
      </c>
      <c r="Z368" t="s">
        <v>373</v>
      </c>
      <c r="AA368" s="59">
        <f t="shared" si="40"/>
        <v>0.0036418449080186602</v>
      </c>
      <c r="AB368" t="s">
        <v>374</v>
      </c>
      <c r="AC368" s="59">
        <f t="shared" si="41"/>
        <v>0.0014237032818656943</v>
      </c>
      <c r="AM368" s="9"/>
      <c r="AN368" s="9"/>
    </row>
    <row r="369" spans="1:40" ht="12.75">
      <c r="A369" s="2" t="s">
        <v>54</v>
      </c>
      <c r="B369" s="14" t="s">
        <v>242</v>
      </c>
      <c r="C369" s="14" t="s">
        <v>242</v>
      </c>
      <c r="D369" s="14" t="s">
        <v>242</v>
      </c>
      <c r="E369" s="14" t="s">
        <v>242</v>
      </c>
      <c r="F369" s="14" t="s">
        <v>242</v>
      </c>
      <c r="G369" s="14" t="s">
        <v>242</v>
      </c>
      <c r="H369" s="14" t="s">
        <v>242</v>
      </c>
      <c r="I369" s="14" t="s">
        <v>242</v>
      </c>
      <c r="J369" s="14" t="s">
        <v>242</v>
      </c>
      <c r="K369" s="14" t="s">
        <v>242</v>
      </c>
      <c r="L369" s="31">
        <f>'Working counts'!L398/'Working counts'!L$28</f>
        <v>0.028102912072377723</v>
      </c>
      <c r="M369" s="31">
        <f>'Working counts'!M398/'Working counts'!M$28</f>
        <v>0.02483276120059854</v>
      </c>
      <c r="N369" s="31">
        <f>'Working counts'!N398/'Working counts'!N$28</f>
        <v>0.020409252479105067</v>
      </c>
      <c r="O369" s="31">
        <f>'Working counts'!O398/'Working counts'!O$28</f>
        <v>0.021224516087474637</v>
      </c>
      <c r="P369" s="31">
        <f>'Working counts'!P398/'Working counts'!P$28</f>
        <v>0.01613107554579621</v>
      </c>
      <c r="Q369" s="31">
        <f>'Working counts'!Q398/'Working counts'!Q$28</f>
        <v>0.01616287758590687</v>
      </c>
      <c r="R369" s="31">
        <f>'Working counts'!R398/'Working counts'!R$28</f>
        <v>0.01692683466181511</v>
      </c>
      <c r="S369" s="31">
        <f>'Working counts'!S398/'Working counts'!S$28</f>
        <v>0.016808847990817388</v>
      </c>
      <c r="T369" s="31">
        <f>'Working counts'!T398/'Working counts'!T$28</f>
        <v>0.01423852589378982</v>
      </c>
      <c r="U369" s="31">
        <f>'Working counts'!U398/'Working counts'!U$28</f>
        <v>0.013671321403601595</v>
      </c>
      <c r="V369" s="31">
        <f>'Working counts'!V398/'Working counts'!V$28</f>
        <v>0.011692737276225992</v>
      </c>
      <c r="W369" t="s">
        <v>333</v>
      </c>
      <c r="X369" s="59">
        <f t="shared" si="38"/>
        <v>-0.01641017479615173</v>
      </c>
      <c r="Y369" s="59">
        <f t="shared" si="39"/>
        <v>0.01641017479615173</v>
      </c>
      <c r="Z369" t="s">
        <v>373</v>
      </c>
      <c r="AA369" s="59">
        <f t="shared" si="40"/>
        <v>0.028102912072377723</v>
      </c>
      <c r="AB369" t="s">
        <v>374</v>
      </c>
      <c r="AC369" s="59">
        <f t="shared" si="41"/>
        <v>0.011692737276225992</v>
      </c>
      <c r="AM369" s="9"/>
      <c r="AN369" s="9"/>
    </row>
    <row r="370" spans="1:40" ht="12.75">
      <c r="A370" s="2" t="s">
        <v>56</v>
      </c>
      <c r="B370" s="14" t="s">
        <v>242</v>
      </c>
      <c r="C370" s="14" t="s">
        <v>242</v>
      </c>
      <c r="D370" s="14" t="s">
        <v>242</v>
      </c>
      <c r="E370" s="14" t="s">
        <v>242</v>
      </c>
      <c r="F370" s="14" t="s">
        <v>242</v>
      </c>
      <c r="G370" s="14" t="s">
        <v>242</v>
      </c>
      <c r="H370" s="14" t="s">
        <v>242</v>
      </c>
      <c r="I370" s="14" t="s">
        <v>242</v>
      </c>
      <c r="J370" s="14" t="s">
        <v>242</v>
      </c>
      <c r="K370" s="14" t="s">
        <v>242</v>
      </c>
      <c r="L370" s="31">
        <f>'Working counts'!L399/'Working counts'!L$28</f>
        <v>0.029233813966638395</v>
      </c>
      <c r="M370" s="31">
        <f>'Working counts'!M399/'Working counts'!M$28</f>
        <v>0.024788750990229733</v>
      </c>
      <c r="N370" s="31">
        <f>'Working counts'!N399/'Working counts'!N$28</f>
        <v>0.01980081765101459</v>
      </c>
      <c r="O370" s="31">
        <f>'Working counts'!O399/'Working counts'!O$28</f>
        <v>0.0205481658024413</v>
      </c>
      <c r="P370" s="31">
        <f>'Working counts'!P399/'Working counts'!P$28</f>
        <v>0.01984713483383303</v>
      </c>
      <c r="Q370" s="31">
        <f>'Working counts'!Q399/'Working counts'!Q$28</f>
        <v>0.01931561114921233</v>
      </c>
      <c r="R370" s="31">
        <f>'Working counts'!R399/'Working counts'!R$28</f>
        <v>0.014212912239790123</v>
      </c>
      <c r="S370" s="31">
        <f>'Working counts'!S399/'Working counts'!S$28</f>
        <v>0.014377012343997743</v>
      </c>
      <c r="T370" s="31">
        <f>'Working counts'!T399/'Working counts'!T$28</f>
        <v>0.013683289259464902</v>
      </c>
      <c r="U370" s="31">
        <f>'Working counts'!U399/'Working counts'!U$28</f>
        <v>0.012310802894881049</v>
      </c>
      <c r="V370" s="31">
        <f>'Working counts'!V399/'Working counts'!V$28</f>
        <v>0.011141626328407013</v>
      </c>
      <c r="W370" t="s">
        <v>333</v>
      </c>
      <c r="X370" s="59">
        <f t="shared" si="38"/>
        <v>-0.01809218763823138</v>
      </c>
      <c r="Y370" s="59">
        <f t="shared" si="39"/>
        <v>0.01809218763823138</v>
      </c>
      <c r="Z370" t="s">
        <v>373</v>
      </c>
      <c r="AA370" s="59">
        <f t="shared" si="40"/>
        <v>0.029233813966638395</v>
      </c>
      <c r="AB370" t="s">
        <v>374</v>
      </c>
      <c r="AC370" s="59">
        <f t="shared" si="41"/>
        <v>0.011141626328407013</v>
      </c>
      <c r="AM370" s="9"/>
      <c r="AN370" s="9"/>
    </row>
    <row r="371" spans="1:40" ht="12.75">
      <c r="A371" s="2" t="s">
        <v>57</v>
      </c>
      <c r="B371" s="14" t="s">
        <v>242</v>
      </c>
      <c r="C371" s="14" t="s">
        <v>242</v>
      </c>
      <c r="D371" s="14" t="s">
        <v>242</v>
      </c>
      <c r="E371" s="14" t="s">
        <v>242</v>
      </c>
      <c r="F371" s="14" t="s">
        <v>242</v>
      </c>
      <c r="G371" s="14" t="s">
        <v>242</v>
      </c>
      <c r="H371" s="14" t="s">
        <v>242</v>
      </c>
      <c r="I371" s="14" t="s">
        <v>242</v>
      </c>
      <c r="J371" s="14" t="s">
        <v>242</v>
      </c>
      <c r="K371" s="14" t="s">
        <v>242</v>
      </c>
      <c r="L371" s="31">
        <f>'Working counts'!L400/'Working counts'!L$28</f>
        <v>0.000995193666949392</v>
      </c>
      <c r="M371" s="31">
        <f>'Working counts'!M400/'Working counts'!M$28</f>
        <v>0.0003740867881348473</v>
      </c>
      <c r="N371" s="31">
        <f>'Working counts'!N400/'Working counts'!N$28</f>
        <v>0.0006618063042387627</v>
      </c>
      <c r="O371" s="31">
        <f>'Working counts'!O400/'Working counts'!O$28</f>
        <v>0.0005045787840724876</v>
      </c>
      <c r="P371" s="31">
        <f>'Working counts'!P400/'Working counts'!P$28</f>
        <v>0.0005067353574595667</v>
      </c>
      <c r="Q371" s="31">
        <f>'Working counts'!Q400/'Working counts'!Q$28</f>
        <v>0.0003685013255811573</v>
      </c>
      <c r="R371" s="31">
        <f>'Working counts'!R400/'Working counts'!R$28</f>
        <v>0.0008945892428156442</v>
      </c>
      <c r="S371" s="31">
        <f>'Working counts'!S400/'Working counts'!S$28</f>
        <v>0.0012159178234098227</v>
      </c>
      <c r="T371" s="31">
        <f>'Working counts'!T400/'Working counts'!T$28</f>
        <v>0.0009222574604040993</v>
      </c>
      <c r="U371" s="31">
        <f>'Working counts'!U400/'Working counts'!U$28</f>
        <v>0.0013983106895183387</v>
      </c>
      <c r="V371" s="31">
        <f>'Working counts'!V400/'Working counts'!V$28</f>
        <v>0.0010838515307106575</v>
      </c>
      <c r="W371" t="s">
        <v>333</v>
      </c>
      <c r="X371" s="59">
        <f t="shared" si="38"/>
        <v>8.865786376126544E-05</v>
      </c>
      <c r="Y371" s="59">
        <f t="shared" si="39"/>
        <v>0.0010298093639371814</v>
      </c>
      <c r="Z371" t="s">
        <v>373</v>
      </c>
      <c r="AA371" s="59">
        <f t="shared" si="40"/>
        <v>0.0013983106895183387</v>
      </c>
      <c r="AB371" t="s">
        <v>374</v>
      </c>
      <c r="AC371" s="59">
        <f t="shared" si="41"/>
        <v>0.0003685013255811573</v>
      </c>
      <c r="AM371" s="9"/>
      <c r="AN371" s="9"/>
    </row>
    <row r="372" spans="1:40" ht="12.75">
      <c r="A372" s="2" t="s">
        <v>58</v>
      </c>
      <c r="B372" s="14" t="s">
        <v>242</v>
      </c>
      <c r="C372" s="14" t="s">
        <v>242</v>
      </c>
      <c r="D372" s="14" t="s">
        <v>242</v>
      </c>
      <c r="E372" s="14" t="s">
        <v>242</v>
      </c>
      <c r="F372" s="14" t="s">
        <v>242</v>
      </c>
      <c r="G372" s="14" t="s">
        <v>242</v>
      </c>
      <c r="H372" s="14" t="s">
        <v>242</v>
      </c>
      <c r="I372" s="14" t="s">
        <v>242</v>
      </c>
      <c r="J372" s="14" t="s">
        <v>242</v>
      </c>
      <c r="K372" s="14" t="s">
        <v>242</v>
      </c>
      <c r="L372" s="31">
        <f>'Working counts'!L401/'Working counts'!L$28</f>
        <v>0.009725756290641787</v>
      </c>
      <c r="M372" s="31">
        <f>'Working counts'!M401/'Working counts'!M$28</f>
        <v>0.008240911891558842</v>
      </c>
      <c r="N372" s="31">
        <f>'Working counts'!N401/'Working counts'!N$28</f>
        <v>0.00702368626111461</v>
      </c>
      <c r="O372" s="31">
        <f>'Working counts'!O401/'Working counts'!O$28</f>
        <v>0.006012002533629639</v>
      </c>
      <c r="P372" s="31">
        <f>'Working counts'!P401/'Working counts'!P$28</f>
        <v>0.007780499134327098</v>
      </c>
      <c r="Q372" s="31">
        <f>'Working counts'!Q401/'Working counts'!Q$28</f>
        <v>0.008127501458651081</v>
      </c>
      <c r="R372" s="31">
        <f>'Working counts'!R401/'Working counts'!R$28</f>
        <v>0.019691014906470194</v>
      </c>
      <c r="S372" s="31">
        <f>'Working counts'!S401/'Working counts'!S$28</f>
        <v>0.014707741991965215</v>
      </c>
      <c r="T372" s="31">
        <f>'Working counts'!T401/'Working counts'!T$28</f>
        <v>0.013579770564929749</v>
      </c>
      <c r="U372" s="31">
        <f>'Working counts'!U401/'Working counts'!U$28</f>
        <v>0.01332174373122201</v>
      </c>
      <c r="V372" s="31">
        <f>'Working counts'!V401/'Working counts'!V$28</f>
        <v>0.014181921723875045</v>
      </c>
      <c r="W372" t="s">
        <v>333</v>
      </c>
      <c r="X372" s="59">
        <f t="shared" si="38"/>
        <v>0.004456165433233258</v>
      </c>
      <c r="Y372" s="59">
        <f t="shared" si="39"/>
        <v>0.013679012372840554</v>
      </c>
      <c r="Z372" t="s">
        <v>373</v>
      </c>
      <c r="AA372" s="59">
        <f t="shared" si="40"/>
        <v>0.019691014906470194</v>
      </c>
      <c r="AB372" t="s">
        <v>374</v>
      </c>
      <c r="AC372" s="59">
        <f t="shared" si="41"/>
        <v>0.006012002533629639</v>
      </c>
      <c r="AM372" s="9"/>
      <c r="AN372" s="9"/>
    </row>
    <row r="373" spans="39:40" ht="12.75">
      <c r="AM373" s="9"/>
      <c r="AN373" s="9"/>
    </row>
    <row r="374" spans="1:40" ht="12.75">
      <c r="A374" s="18" t="s">
        <v>274</v>
      </c>
      <c r="F374" s="1"/>
      <c r="AM374" s="9"/>
      <c r="AN374" s="9"/>
    </row>
    <row r="375" spans="1:40" ht="12.75">
      <c r="A375" s="18"/>
      <c r="AM375" s="9"/>
      <c r="AN375" s="9"/>
    </row>
    <row r="376" spans="1:40" ht="12.75">
      <c r="A376" s="18" t="s">
        <v>275</v>
      </c>
      <c r="B376" s="31">
        <f>'Working counts'!B406/('Working counts'!B$28-'Working counts'!B407)</f>
        <v>0.12349497723494977</v>
      </c>
      <c r="C376" s="31">
        <f>'Working counts'!C406/('Working counts'!C$28-'Working counts'!C407)</f>
        <v>0.14594158372386062</v>
      </c>
      <c r="D376" s="31">
        <f>'Working counts'!D406/('Working counts'!D$28-'Working counts'!D407)</f>
        <v>0.14413853245297123</v>
      </c>
      <c r="E376" s="31">
        <f>'Working counts'!E406/('Working counts'!E$28-'Working counts'!E407)</f>
        <v>0.15370335239437383</v>
      </c>
      <c r="F376" s="31">
        <f>'Working counts'!F406/('Working counts'!F$28-'Working counts'!F407)</f>
        <v>0.13247065101387406</v>
      </c>
      <c r="G376" s="50" t="s">
        <v>242</v>
      </c>
      <c r="H376" s="31">
        <f>'Working counts'!H406/('Working counts'!H$28-'Working counts'!H407)</f>
        <v>0.1181422202920025</v>
      </c>
      <c r="I376" s="50" t="s">
        <v>242</v>
      </c>
      <c r="J376" s="31">
        <f>'Working counts'!J406/('Working counts'!J$28-'Working counts'!J407)</f>
        <v>0.10619746884358999</v>
      </c>
      <c r="K376" s="31">
        <f>'Working counts'!K406/('Working counts'!K$28-'Working counts'!K407)</f>
        <v>0.10375454178441663</v>
      </c>
      <c r="L376" s="31">
        <f>'Working counts'!L406/('Working counts'!L$28-'Working counts'!L407)</f>
        <v>0.2834457304292354</v>
      </c>
      <c r="M376" s="31">
        <f>'Working counts'!M406/SUM('Working counts'!M405:M406)</f>
        <v>0.33104560110548137</v>
      </c>
      <c r="N376" s="31">
        <f>'Working counts'!N406/SUM('Working counts'!N405:N406)</f>
        <v>0.3247161023601444</v>
      </c>
      <c r="O376" s="31">
        <f>'Working counts'!O406/SUM('Working counts'!O405:O406)</f>
        <v>0.2875994215473608</v>
      </c>
      <c r="P376" s="31">
        <f>'Working counts'!P406/SUM('Working counts'!P405:P406)</f>
        <v>0.2766331873980599</v>
      </c>
      <c r="Q376" s="31">
        <f>'Working counts'!Q406/SUM('Working counts'!Q405:Q406)</f>
        <v>0.26980322906155396</v>
      </c>
      <c r="R376" s="31">
        <f>'Working counts'!R406/('Working counts'!R$28-'Working counts'!R407)</f>
        <v>0.09704055610398157</v>
      </c>
      <c r="S376" s="31">
        <f>'Working counts'!S406/('Working counts'!S$28-'Working counts'!S407)</f>
        <v>0.09076251326937329</v>
      </c>
      <c r="T376" s="31">
        <f>'Working counts'!T406/('Working counts'!T$28-'Working counts'!T407)</f>
        <v>0.0937656340196267</v>
      </c>
      <c r="U376" s="31">
        <f>'Working counts'!U406/('Working counts'!U$28-'Working counts'!U407)</f>
        <v>0.09029299412460491</v>
      </c>
      <c r="V376" s="31">
        <f>'Working counts'!V406/('Working counts'!V$28-'Working counts'!V407)</f>
        <v>0.08780180400492857</v>
      </c>
      <c r="AM376" s="9"/>
      <c r="AN376" s="9"/>
    </row>
    <row r="377" spans="1:40" ht="12.75">
      <c r="A377" s="18"/>
      <c r="G377" s="50"/>
      <c r="I377" s="50"/>
      <c r="M377" s="48"/>
      <c r="N377" s="48"/>
      <c r="O377" s="48"/>
      <c r="P377" s="48"/>
      <c r="Q377" s="48" t="s">
        <v>301</v>
      </c>
      <c r="AM377" s="9"/>
      <c r="AN377" s="9"/>
    </row>
    <row r="378" spans="1:40" ht="12.75">
      <c r="A378" s="18" t="s">
        <v>276</v>
      </c>
      <c r="B378" s="31">
        <f>'Working counts'!B410/('Working counts'!B$28-'Working counts'!B411)</f>
        <v>0.14138902941389028</v>
      </c>
      <c r="C378" s="31">
        <f>'Working counts'!C410/('Working counts'!C$28-'Working counts'!C411)</f>
        <v>0.194546304030808</v>
      </c>
      <c r="D378" s="31">
        <f>'Working counts'!D410/('Working counts'!D$28-'Working counts'!D411)</f>
        <v>0.17133839956812424</v>
      </c>
      <c r="E378" s="31">
        <f>'Working counts'!E410/('Working counts'!E$28-'Working counts'!E411)</f>
        <v>0.17561451529851757</v>
      </c>
      <c r="F378" s="31">
        <f>'Working counts'!F410/('Working counts'!F$28-'Working counts'!F411)</f>
        <v>0.13869362820290512</v>
      </c>
      <c r="G378" s="50" t="s">
        <v>242</v>
      </c>
      <c r="H378" s="31">
        <f>'Working counts'!H410/('Working counts'!H$28-'Working counts'!H411)</f>
        <v>0.13561855604246784</v>
      </c>
      <c r="I378" s="50" t="s">
        <v>242</v>
      </c>
      <c r="J378" s="31">
        <f>'Working counts'!J410/('Working counts'!J$28-'Working counts'!J411)</f>
        <v>0.10775008452881225</v>
      </c>
      <c r="K378" s="31">
        <f>'Working counts'!K410/('Working counts'!K$28-'Working counts'!K411)</f>
        <v>0.11028443273646364</v>
      </c>
      <c r="L378" s="31">
        <f>'Working counts'!L410/('Working counts'!L$28-'Working counts'!L411)</f>
        <v>0.3582534561675266</v>
      </c>
      <c r="M378" s="31">
        <f>'Working counts'!M410/SUM('Working counts'!M409:M410)</f>
        <v>0.302380059970015</v>
      </c>
      <c r="N378" s="31">
        <f>'Working counts'!N410/SUM('Working counts'!N409:N410)</f>
        <v>0.273909105439821</v>
      </c>
      <c r="O378" s="31">
        <f>'Working counts'!O410/SUM('Working counts'!O409:O410)</f>
        <v>0.2220120233741119</v>
      </c>
      <c r="P378" s="31">
        <f>'Working counts'!P410/SUM('Working counts'!P409:P410)</f>
        <v>0.23879812535587577</v>
      </c>
      <c r="Q378" s="31">
        <f>'Working counts'!Q410/SUM('Working counts'!Q409:Q410)</f>
        <v>0.23687574569626726</v>
      </c>
      <c r="R378" s="31">
        <f>'Working counts'!R410/('Working counts'!R$28-'Working counts'!R411)</f>
        <v>0.34322025063074707</v>
      </c>
      <c r="S378" s="31">
        <f>'Working counts'!S410/('Working counts'!S$28-'Working counts'!S411)</f>
        <v>0.3363049805621705</v>
      </c>
      <c r="T378" s="31">
        <f>'Working counts'!T410/('Working counts'!T$28-'Working counts'!T411)</f>
        <v>0.35633474224690803</v>
      </c>
      <c r="U378" s="31">
        <f>'Working counts'!U410/('Working counts'!U$28-'Working counts'!U411)</f>
        <v>0.37393586063350204</v>
      </c>
      <c r="V378" s="31">
        <f>'Working counts'!V410/('Working counts'!V$28-'Working counts'!V411)</f>
        <v>0.3745161966863048</v>
      </c>
      <c r="AM378" s="9"/>
      <c r="AN378" s="9"/>
    </row>
    <row r="379" spans="1:40" ht="12.75">
      <c r="A379" s="18"/>
      <c r="G379" s="50"/>
      <c r="I379" s="50"/>
      <c r="M379" s="48"/>
      <c r="N379" s="48"/>
      <c r="O379" s="48"/>
      <c r="P379" s="48"/>
      <c r="Q379" s="48" t="s">
        <v>301</v>
      </c>
      <c r="AM379" s="9"/>
      <c r="AN379" s="9"/>
    </row>
    <row r="380" spans="1:40" ht="12.75">
      <c r="A380" s="18" t="s">
        <v>277</v>
      </c>
      <c r="B380" s="31">
        <f>'Working counts'!B413/('Working counts'!B$28-'Working counts'!B414)</f>
        <v>0.11621016116210162</v>
      </c>
      <c r="C380" s="31">
        <f>'Working counts'!C413/('Working counts'!C$28-'Working counts'!C414)</f>
        <v>0.10250456598377483</v>
      </c>
      <c r="D380" s="31">
        <f>'Working counts'!D413/('Working counts'!D$28-'Working counts'!D414)</f>
        <v>0.0887560040419141</v>
      </c>
      <c r="E380" s="31">
        <f>'Working counts'!E413/('Working counts'!E$28-'Working counts'!E414)</f>
        <v>0.09485351906555733</v>
      </c>
      <c r="F380" s="31">
        <f>'Working counts'!F413/('Working counts'!F$28-'Working counts'!F414)</f>
        <v>0.06682313405966209</v>
      </c>
      <c r="G380" s="50" t="s">
        <v>242</v>
      </c>
      <c r="H380" s="31">
        <f>'Working counts'!H413/('Working counts'!H$28-'Working counts'!H414)</f>
        <v>0.06080804985187455</v>
      </c>
      <c r="I380" s="50" t="s">
        <v>242</v>
      </c>
      <c r="J380" s="31">
        <f>'Working counts'!J413/('Working counts'!J$28-'Working counts'!J414)</f>
        <v>0.051576900312843496</v>
      </c>
      <c r="K380" s="31">
        <f>'Working counts'!K413/('Working counts'!K$28-'Working counts'!K414)</f>
        <v>0.05549025893079745</v>
      </c>
      <c r="L380" s="14" t="s">
        <v>242</v>
      </c>
      <c r="M380" s="14" t="s">
        <v>242</v>
      </c>
      <c r="N380" s="14" t="s">
        <v>242</v>
      </c>
      <c r="O380" s="14" t="s">
        <v>242</v>
      </c>
      <c r="P380" s="14" t="s">
        <v>242</v>
      </c>
      <c r="Q380" s="14" t="s">
        <v>242</v>
      </c>
      <c r="R380" s="31">
        <f>'Working counts'!R413/('Working counts'!R$28-'Working counts'!R414)</f>
        <v>0.06939736537641829</v>
      </c>
      <c r="S380" s="31">
        <f>'Working counts'!S413/('Working counts'!S$28-'Working counts'!S414)</f>
        <v>0.06262773866766719</v>
      </c>
      <c r="T380" s="31">
        <f>'Working counts'!T413/('Working counts'!T$28-'Working counts'!T414)</f>
        <v>0.06156865734212432</v>
      </c>
      <c r="U380" s="31">
        <f>'Working counts'!U413/('Working counts'!U$28-'Working counts'!U414)</f>
        <v>0.05403302498487075</v>
      </c>
      <c r="V380" s="31">
        <f>'Working counts'!V413/('Working counts'!V$28-'Working counts'!V414)</f>
        <v>0.05563862291854342</v>
      </c>
      <c r="AM380" s="9"/>
      <c r="AN380" s="9"/>
    </row>
    <row r="381" spans="1:40" ht="12.75">
      <c r="A381" s="18"/>
      <c r="G381" s="50"/>
      <c r="I381" s="50"/>
      <c r="AM381" s="9"/>
      <c r="AN381" s="9"/>
    </row>
    <row r="382" spans="1:40" ht="12.75">
      <c r="A382" s="18" t="s">
        <v>299</v>
      </c>
      <c r="B382" s="31">
        <f>'Working counts'!B417/('Working counts'!B$28-'Working counts'!B418)</f>
        <v>0.058076172580761726</v>
      </c>
      <c r="C382" s="31">
        <f>'Working counts'!C417/('Working counts'!C$28-'Working counts'!C418)</f>
        <v>0.06844020331016126</v>
      </c>
      <c r="D382" s="31">
        <f>'Working counts'!D417/('Working counts'!D$28-'Working counts'!D418)</f>
        <v>0.06868485528009634</v>
      </c>
      <c r="E382" s="31">
        <f>'Working counts'!E417/('Working counts'!E$28-'Working counts'!E418)</f>
        <v>0.07096398276376054</v>
      </c>
      <c r="F382" s="31">
        <f>'Working counts'!F417/('Working counts'!F$28-'Working counts'!F418)</f>
        <v>0.03775597269624573</v>
      </c>
      <c r="G382" s="50" t="s">
        <v>242</v>
      </c>
      <c r="H382" s="31">
        <f>'Working counts'!H417/('Working counts'!H$28-'Working counts'!H418)</f>
        <v>0.030988937996576656</v>
      </c>
      <c r="I382" s="50" t="s">
        <v>242</v>
      </c>
      <c r="J382" s="31">
        <f>'Working counts'!J417/('Working counts'!J$28-'Working counts'!J418)</f>
        <v>0.028689465228368145</v>
      </c>
      <c r="K382" s="31">
        <f>'Working counts'!K417/('Working counts'!K$28-'Working counts'!K418)</f>
        <v>0.029717081977338054</v>
      </c>
      <c r="L382" s="31">
        <f>'Working counts'!L417/('Working counts'!L$28-'Working counts'!L418)</f>
        <v>0.039241310242067465</v>
      </c>
      <c r="M382" s="31">
        <f>'Working counts'!M417/SUM('Working counts'!M416:M417)</f>
        <v>0.046517209927511884</v>
      </c>
      <c r="N382" s="31">
        <f>'Working counts'!N417/SUM('Working counts'!N416:N417)</f>
        <v>0.05312567831560668</v>
      </c>
      <c r="O382" s="31">
        <f>'Working counts'!O417/SUM('Working counts'!O416:O417)</f>
        <v>0.049145897507700924</v>
      </c>
      <c r="P382" s="31">
        <f>'Working counts'!P417/SUM('Working counts'!P416:P417)</f>
        <v>0.05514754973961811</v>
      </c>
      <c r="Q382" s="31">
        <f>'Working counts'!Q417/SUM('Working counts'!Q416:Q417)</f>
        <v>0.04777317452097359</v>
      </c>
      <c r="R382" s="31">
        <f>'Working counts'!R417/('Working counts'!R$28-'Working counts'!R418)</f>
        <v>0.053725848962077154</v>
      </c>
      <c r="S382" s="31">
        <f>'Working counts'!S417/('Working counts'!S$28-'Working counts'!S418)</f>
        <v>0.053104870426667235</v>
      </c>
      <c r="T382" s="31">
        <f>'Working counts'!T417/('Working counts'!T$28-'Working counts'!T418)</f>
        <v>0.05142176933575511</v>
      </c>
      <c r="U382" s="31">
        <f>'Working counts'!U417/('Working counts'!U$28-'Working counts'!U418)</f>
        <v>0.050418864412038474</v>
      </c>
      <c r="V382" s="31">
        <f>'Working counts'!V417/('Working counts'!V$28-'Working counts'!V418)</f>
        <v>0.050350301745067536</v>
      </c>
      <c r="AM382" s="9"/>
      <c r="AN382" s="9"/>
    </row>
    <row r="383" spans="1:40" ht="12.75">
      <c r="A383" s="18"/>
      <c r="G383" s="50"/>
      <c r="I383" s="50"/>
      <c r="M383" s="48"/>
      <c r="N383" s="48"/>
      <c r="O383" s="48"/>
      <c r="P383" s="48"/>
      <c r="Q383" s="48" t="s">
        <v>301</v>
      </c>
      <c r="AM383" s="9"/>
      <c r="AN383" s="9"/>
    </row>
    <row r="384" spans="1:40" ht="12.75">
      <c r="A384" s="18" t="s">
        <v>278</v>
      </c>
      <c r="B384" s="31">
        <f>'Working counts'!B420/('Working counts'!B$28-'Working counts'!B421)</f>
        <v>0.13222519332225194</v>
      </c>
      <c r="C384" s="31">
        <f>'Working counts'!C420/('Working counts'!C$28-'Working counts'!C421)</f>
        <v>0.1715252509521315</v>
      </c>
      <c r="D384" s="31">
        <f>'Working counts'!D420/('Working counts'!D$28-'Working counts'!D421)</f>
        <v>0.1845161468931246</v>
      </c>
      <c r="E384" s="31">
        <f>'Working counts'!E420/('Working counts'!E$28-'Working counts'!E421)</f>
        <v>0.17821621182145858</v>
      </c>
      <c r="F384" s="31">
        <f>'Working counts'!F420/('Working counts'!F$28-'Working counts'!F421)</f>
        <v>0.14293354726567722</v>
      </c>
      <c r="G384" s="50" t="s">
        <v>242</v>
      </c>
      <c r="H384" s="31">
        <f>'Working counts'!H420/('Working counts'!H$28-'Working counts'!H421)</f>
        <v>0.13194817830350514</v>
      </c>
      <c r="I384" s="50" t="s">
        <v>242</v>
      </c>
      <c r="J384" s="31">
        <f>'Working counts'!J420/('Working counts'!J$28-'Working counts'!J421)</f>
        <v>0.15744727167182662</v>
      </c>
      <c r="K384" s="31">
        <f>'Working counts'!K420/('Working counts'!K$28-'Working counts'!K421)</f>
        <v>0.13757072892396938</v>
      </c>
      <c r="L384" s="31">
        <f>'Working counts'!L420/('Working counts'!L$28-'Working counts'!L421)</f>
        <v>0.04590841011210457</v>
      </c>
      <c r="M384" s="31">
        <f>'Working counts'!M420/('Working counts'!M$28-'Working counts'!M421)</f>
        <v>0.046559888733125075</v>
      </c>
      <c r="N384" s="31">
        <f>'Working counts'!N420/('Working counts'!N$28-'Working counts'!N421)</f>
        <v>0.06264406634288594</v>
      </c>
      <c r="O384" s="31">
        <f>'Working counts'!O420/('Working counts'!O$28-'Working counts'!O421)</f>
        <v>0.07219971555402319</v>
      </c>
      <c r="P384" s="31">
        <f>'Working counts'!P420/('Working counts'!P$28-'Working counts'!P421)</f>
        <v>0.07222645341457222</v>
      </c>
      <c r="Q384" s="31">
        <f>'Working counts'!Q420/('Working counts'!Q$28-'Working counts'!Q421)</f>
        <v>0.07123682180509128</v>
      </c>
      <c r="R384" s="31">
        <f>'Working counts'!R420/('Working counts'!R$28-'Working counts'!R421)</f>
        <v>0.10587743192646323</v>
      </c>
      <c r="S384" s="31">
        <f>'Working counts'!S420/('Working counts'!S$28-'Working counts'!S421)</f>
        <v>0.08324397315223003</v>
      </c>
      <c r="T384" s="31">
        <f>'Working counts'!T420/('Working counts'!T$28-'Working counts'!T421)</f>
        <v>0.08845352710239107</v>
      </c>
      <c r="U384" s="31">
        <f>'Working counts'!U420/('Working counts'!U$28-'Working counts'!U421)</f>
        <v>0.08727241065727609</v>
      </c>
      <c r="V384" s="31">
        <f>'Working counts'!V420/('Working counts'!V$28-'Working counts'!V421)</f>
        <v>0.08834586466165413</v>
      </c>
      <c r="AM384" s="9"/>
      <c r="AN384" s="9"/>
    </row>
    <row r="385" spans="1:40" ht="12.75">
      <c r="A385" s="18"/>
      <c r="F385" s="52"/>
      <c r="G385" s="52"/>
      <c r="H385" s="52"/>
      <c r="I385" s="52"/>
      <c r="J385" s="52"/>
      <c r="K385" s="52" t="s">
        <v>327</v>
      </c>
      <c r="AM385" s="9"/>
      <c r="AN385" s="9"/>
    </row>
    <row r="386" spans="1:40" ht="12.75">
      <c r="A386" s="19" t="s">
        <v>296</v>
      </c>
      <c r="AM386" s="9"/>
      <c r="AN386" s="9"/>
    </row>
    <row r="387" spans="39:40" ht="12.75">
      <c r="AM387" s="9"/>
      <c r="AN387" s="9"/>
    </row>
    <row r="388" spans="1:40" ht="12.75">
      <c r="A388" s="18" t="s">
        <v>279</v>
      </c>
      <c r="C388" s="48"/>
      <c r="D388" s="48"/>
      <c r="E388" s="48"/>
      <c r="F388" s="48"/>
      <c r="G388" s="48"/>
      <c r="H388" s="48"/>
      <c r="I388" s="48"/>
      <c r="J388" s="48" t="s">
        <v>288</v>
      </c>
      <c r="V388" s="9" t="s">
        <v>295</v>
      </c>
      <c r="AM388" s="9"/>
      <c r="AN388" s="9"/>
    </row>
    <row r="389" spans="1:40" ht="12.75">
      <c r="A389" s="18" t="s">
        <v>280</v>
      </c>
      <c r="B389" s="14" t="s">
        <v>242</v>
      </c>
      <c r="C389" s="72">
        <f>'Working counts'!C426/('Working counts'!C$436-'Working counts'!C$434)</f>
        <v>0.38899339603762256</v>
      </c>
      <c r="D389" s="72">
        <f>'Working counts'!D426/('Working counts'!D$436-'Working counts'!D$434)</f>
        <v>0.3164292730844794</v>
      </c>
      <c r="E389" s="72">
        <f>'Working counts'!E426/('Working counts'!E$436-'Working counts'!E$434)</f>
        <v>0.3164910728647258</v>
      </c>
      <c r="F389" s="72">
        <f>'Working counts'!F426/('Working counts'!F$436-'Working counts'!F$434)</f>
        <v>0.31737868427717064</v>
      </c>
      <c r="G389" s="72">
        <f>'Working counts'!G426/('Working counts'!G$436-'Working counts'!G$434)</f>
        <v>0.3090493117531387</v>
      </c>
      <c r="H389" s="72">
        <f>'Working counts'!H426/('Working counts'!H$436-'Working counts'!H$434)</f>
        <v>0.3120034316833899</v>
      </c>
      <c r="I389" s="72">
        <f>'Working counts'!I426/('Working counts'!I$436-'Working counts'!I$434)</f>
        <v>0.30885888662844463</v>
      </c>
      <c r="J389" s="72">
        <f>'Working counts'!J426/('Working counts'!J$436-'Working counts'!J$434)</f>
        <v>0.3052282571881852</v>
      </c>
      <c r="K389" s="14" t="s">
        <v>242</v>
      </c>
      <c r="L389" s="14" t="s">
        <v>242</v>
      </c>
      <c r="M389" s="14" t="s">
        <v>242</v>
      </c>
      <c r="N389" s="14" t="s">
        <v>242</v>
      </c>
      <c r="O389" s="14" t="s">
        <v>242</v>
      </c>
      <c r="P389" s="14" t="s">
        <v>242</v>
      </c>
      <c r="Q389" s="14" t="s">
        <v>242</v>
      </c>
      <c r="R389" s="72">
        <f>'Working counts'!R426/('Working counts'!R$436-'Working counts'!R$434)</f>
        <v>0.3142510287417031</v>
      </c>
      <c r="S389" s="72">
        <f>'Working counts'!S426/('Working counts'!S$436-'Working counts'!S$434)</f>
        <v>0.3104662890837148</v>
      </c>
      <c r="T389" s="72">
        <f>'Working counts'!T426/('Working counts'!T$436-'Working counts'!T$434)</f>
        <v>0.3107384184574177</v>
      </c>
      <c r="U389" s="72">
        <f>'Working counts'!U426/('Working counts'!U$436-'Working counts'!U$434)</f>
        <v>0.30199412192270014</v>
      </c>
      <c r="V389" s="72">
        <f>'Working counts'!V426/('Working counts'!V$436-'Working counts'!V$434)</f>
        <v>0.2936121582712458</v>
      </c>
      <c r="W389" t="s">
        <v>333</v>
      </c>
      <c r="X389" s="59">
        <f>V389-C389</f>
        <v>-0.09538123776637675</v>
      </c>
      <c r="Z389" s="59">
        <f>SUM(C389:J389)/8</f>
        <v>0.32180403918964456</v>
      </c>
      <c r="AA389" s="31">
        <f>SUM(R389:V389)/5</f>
        <v>0.3062124032953563</v>
      </c>
      <c r="AB389" s="59">
        <f>Z389-AA389</f>
        <v>0.015591635894288247</v>
      </c>
      <c r="AC389" s="31">
        <f>(AA389-Z389)/AA389</f>
        <v>-0.05091771504516549</v>
      </c>
      <c r="AM389" s="9"/>
      <c r="AN389" s="9"/>
    </row>
    <row r="390" spans="1:40" ht="12.75">
      <c r="A390" s="18" t="s">
        <v>281</v>
      </c>
      <c r="B390" s="14" t="s">
        <v>242</v>
      </c>
      <c r="C390" s="72">
        <f>'Working counts'!C427/('Working counts'!C$436-'Working counts'!C$434)</f>
        <v>0.3020412247348409</v>
      </c>
      <c r="D390" s="72">
        <f>'Working counts'!D427/('Working counts'!D$436-'Working counts'!D$434)</f>
        <v>0.3032293713163065</v>
      </c>
      <c r="E390" s="72">
        <f>'Working counts'!E427/('Working counts'!E$436-'Working counts'!E$434)</f>
        <v>0.3109417725591121</v>
      </c>
      <c r="F390" s="72">
        <f>'Working counts'!F427/('Working counts'!F$436-'Working counts'!F$434)</f>
        <v>0.3111059162721836</v>
      </c>
      <c r="G390" s="72">
        <f>'Working counts'!G427/('Working counts'!G$436-'Working counts'!G$434)</f>
        <v>0.3162721222205415</v>
      </c>
      <c r="H390" s="72">
        <f>'Working counts'!H427/('Working counts'!H$436-'Working counts'!H$434)</f>
        <v>0.31314110932895667</v>
      </c>
      <c r="I390" s="72">
        <f>'Working counts'!I427/('Working counts'!I$436-'Working counts'!I$434)</f>
        <v>0.3097651192898095</v>
      </c>
      <c r="J390" s="72">
        <f>'Working counts'!J427/('Working counts'!J$436-'Working counts'!J$434)</f>
        <v>0.3165118807821886</v>
      </c>
      <c r="K390" s="14" t="s">
        <v>242</v>
      </c>
      <c r="L390" s="14" t="s">
        <v>242</v>
      </c>
      <c r="M390" s="14" t="s">
        <v>242</v>
      </c>
      <c r="N390" s="14" t="s">
        <v>242</v>
      </c>
      <c r="O390" s="14" t="s">
        <v>242</v>
      </c>
      <c r="P390" s="14" t="s">
        <v>242</v>
      </c>
      <c r="Q390" s="14" t="s">
        <v>242</v>
      </c>
      <c r="R390" s="72">
        <f>'Working counts'!R427/('Working counts'!R$436-'Working counts'!R$434)</f>
        <v>0.32560266132719506</v>
      </c>
      <c r="S390" s="72">
        <f>'Working counts'!S427/('Working counts'!S$436-'Working counts'!S$434)</f>
        <v>0.32578167429591126</v>
      </c>
      <c r="T390" s="72">
        <f>'Working counts'!T427/('Working counts'!T$436-'Working counts'!T$434)</f>
        <v>0.32633773665307114</v>
      </c>
      <c r="U390" s="72">
        <f>'Working counts'!U427/('Working counts'!U$436-'Working counts'!U$434)</f>
        <v>0.3247321682520621</v>
      </c>
      <c r="V390" s="72">
        <f>'Working counts'!V427/('Working counts'!V$436-'Working counts'!V$434)</f>
        <v>0.32187064026833684</v>
      </c>
      <c r="W390" t="s">
        <v>333</v>
      </c>
      <c r="X390" s="59">
        <f aca="true" t="shared" si="42" ref="X390:X396">V390-C390</f>
        <v>0.01982941553349593</v>
      </c>
      <c r="Z390" s="59">
        <f aca="true" t="shared" si="43" ref="Z390:Z396">SUM(C390:J390)/8</f>
        <v>0.31037606456299244</v>
      </c>
      <c r="AA390" s="31">
        <f aca="true" t="shared" si="44" ref="AA390:AA396">SUM(R390:V390)/5</f>
        <v>0.3248649761593153</v>
      </c>
      <c r="AB390" s="59">
        <f aca="true" t="shared" si="45" ref="AB390:AB396">Z390-AA390</f>
        <v>-0.014488911596322873</v>
      </c>
      <c r="AC390" s="31">
        <f aca="true" t="shared" si="46" ref="AC390:AC396">(AA390-Z390)/AA390</f>
        <v>0.04459979579090558</v>
      </c>
      <c r="AM390" s="9"/>
      <c r="AN390" s="9"/>
    </row>
    <row r="391" spans="1:40" ht="12.75">
      <c r="A391" s="18" t="s">
        <v>282</v>
      </c>
      <c r="B391" s="14" t="s">
        <v>242</v>
      </c>
      <c r="C391" s="72">
        <f>'Working counts'!C428/('Working counts'!C$436-'Working counts'!C$434)</f>
        <v>0.15701420852511508</v>
      </c>
      <c r="D391" s="72">
        <f>'Working counts'!D428/('Working counts'!D$436-'Working counts'!D$434)</f>
        <v>0.14532170923379176</v>
      </c>
      <c r="E391" s="72">
        <f>'Working counts'!E428/('Working counts'!E$436-'Working counts'!E$434)</f>
        <v>0.13891346308508928</v>
      </c>
      <c r="F391" s="72">
        <f>'Working counts'!F428/('Working counts'!F$436-'Working counts'!F$434)</f>
        <v>0.13548789277852455</v>
      </c>
      <c r="G391" s="72">
        <f>'Working counts'!G428/('Working counts'!G$436-'Working counts'!G$434)</f>
        <v>0.13876493722583572</v>
      </c>
      <c r="H391" s="72">
        <f>'Working counts'!H428/('Working counts'!H$436-'Working counts'!H$434)</f>
        <v>0.13764034466037525</v>
      </c>
      <c r="I391" s="72">
        <f>'Working counts'!I428/('Working counts'!I$436-'Working counts'!I$434)</f>
        <v>0.13225448492694655</v>
      </c>
      <c r="J391" s="72">
        <f>'Working counts'!J428/('Working counts'!J$436-'Working counts'!J$434)</f>
        <v>0.13499349364516303</v>
      </c>
      <c r="K391" s="14" t="s">
        <v>242</v>
      </c>
      <c r="L391" s="14" t="s">
        <v>242</v>
      </c>
      <c r="M391" s="14" t="s">
        <v>242</v>
      </c>
      <c r="N391" s="14" t="s">
        <v>242</v>
      </c>
      <c r="O391" s="14" t="s">
        <v>242</v>
      </c>
      <c r="P391" s="14" t="s">
        <v>242</v>
      </c>
      <c r="Q391" s="14" t="s">
        <v>242</v>
      </c>
      <c r="R391" s="72">
        <f>'Working counts'!R428/('Working counts'!R$436-'Working counts'!R$434)</f>
        <v>0.13626688949501</v>
      </c>
      <c r="S391" s="72">
        <f>'Working counts'!S428/('Working counts'!S$436-'Working counts'!S$434)</f>
        <v>0.14319186903561176</v>
      </c>
      <c r="T391" s="72">
        <f>'Working counts'!T428/('Working counts'!T$436-'Working counts'!T$434)</f>
        <v>0.14033298837280087</v>
      </c>
      <c r="U391" s="72">
        <f>'Working counts'!U428/('Working counts'!U$436-'Working counts'!U$434)</f>
        <v>0.14458174003729102</v>
      </c>
      <c r="V391" s="72">
        <f>'Working counts'!V428/('Working counts'!V$436-'Working counts'!V$434)</f>
        <v>0.14760010685980587</v>
      </c>
      <c r="W391" t="s">
        <v>333</v>
      </c>
      <c r="X391" s="59">
        <f t="shared" si="42"/>
        <v>-0.009414101665309205</v>
      </c>
      <c r="Z391" s="59">
        <f t="shared" si="43"/>
        <v>0.14004881676010517</v>
      </c>
      <c r="AA391" s="31">
        <f t="shared" si="44"/>
        <v>0.14239471876010387</v>
      </c>
      <c r="AB391" s="59">
        <f t="shared" si="45"/>
        <v>-0.0023459019999987063</v>
      </c>
      <c r="AC391" s="31">
        <f t="shared" si="46"/>
        <v>0.01647464189982291</v>
      </c>
      <c r="AM391" s="9"/>
      <c r="AN391" s="9"/>
    </row>
    <row r="392" spans="1:40" ht="12.75">
      <c r="A392" s="18" t="s">
        <v>283</v>
      </c>
      <c r="B392" s="14" t="s">
        <v>242</v>
      </c>
      <c r="C392" s="72">
        <f>'Working counts'!C429/('Working counts'!C$436-'Working counts'!C$434)</f>
        <v>0.05817490494296578</v>
      </c>
      <c r="D392" s="72">
        <f>'Working counts'!D429/('Working counts'!D$436-'Working counts'!D$434)</f>
        <v>0.05142845448592011</v>
      </c>
      <c r="E392" s="72">
        <f>'Working counts'!E429/('Working counts'!E$436-'Working counts'!E$434)</f>
        <v>0.04869712079781245</v>
      </c>
      <c r="F392" s="72">
        <f>'Working counts'!F429/('Working counts'!F$436-'Working counts'!F$434)</f>
        <v>0.048740576237508035</v>
      </c>
      <c r="G392" s="72">
        <f>'Working counts'!G429/('Working counts'!G$436-'Working counts'!G$434)</f>
        <v>0.04866888519134775</v>
      </c>
      <c r="H392" s="72">
        <f>'Working counts'!H429/('Working counts'!H$436-'Working counts'!H$434)</f>
        <v>0.04919989555746205</v>
      </c>
      <c r="I392" s="72">
        <f>'Working counts'!I429/('Working counts'!I$436-'Working counts'!I$434)</f>
        <v>0.05085999630109118</v>
      </c>
      <c r="J392" s="72">
        <f>'Working counts'!J429/('Working counts'!J$436-'Working counts'!J$434)</f>
        <v>0.049590901798606035</v>
      </c>
      <c r="K392" s="14" t="s">
        <v>242</v>
      </c>
      <c r="L392" s="14" t="s">
        <v>242</v>
      </c>
      <c r="M392" s="14" t="s">
        <v>242</v>
      </c>
      <c r="N392" s="14" t="s">
        <v>242</v>
      </c>
      <c r="O392" s="14" t="s">
        <v>242</v>
      </c>
      <c r="P392" s="14" t="s">
        <v>242</v>
      </c>
      <c r="Q392" s="14" t="s">
        <v>242</v>
      </c>
      <c r="R392" s="72">
        <f>'Working counts'!R429/('Working counts'!R$436-'Working counts'!R$434)</f>
        <v>0.05497658725779242</v>
      </c>
      <c r="S392" s="72">
        <f>'Working counts'!S429/('Working counts'!S$436-'Working counts'!S$434)</f>
        <v>0.057133990224222206</v>
      </c>
      <c r="T392" s="72">
        <f>'Working counts'!T429/('Working counts'!T$436-'Working counts'!T$434)</f>
        <v>0.05801424484081086</v>
      </c>
      <c r="U392" s="72">
        <f>'Working counts'!U429/('Working counts'!U$436-'Working counts'!U$434)</f>
        <v>0.061071959043074296</v>
      </c>
      <c r="V392" s="72">
        <f>'Working counts'!V429/('Working counts'!V$436-'Working counts'!V$434)</f>
        <v>0.06056873163347087</v>
      </c>
      <c r="W392" t="s">
        <v>333</v>
      </c>
      <c r="X392" s="59">
        <f t="shared" si="42"/>
        <v>0.0023938266905050853</v>
      </c>
      <c r="Z392" s="59">
        <f t="shared" si="43"/>
        <v>0.05067009191408918</v>
      </c>
      <c r="AA392" s="31">
        <f t="shared" si="44"/>
        <v>0.058353102599874127</v>
      </c>
      <c r="AB392" s="59">
        <f t="shared" si="45"/>
        <v>-0.007683010685784947</v>
      </c>
      <c r="AC392" s="31">
        <f t="shared" si="46"/>
        <v>0.13166413341321664</v>
      </c>
      <c r="AM392" s="9"/>
      <c r="AN392" s="9"/>
    </row>
    <row r="393" spans="1:40" ht="12.75">
      <c r="A393" s="18" t="s">
        <v>284</v>
      </c>
      <c r="B393" s="14" t="s">
        <v>242</v>
      </c>
      <c r="C393" s="72">
        <f>'Working counts'!C430/('Working counts'!C$436-'Working counts'!C$434)</f>
        <v>0.03900340204122473</v>
      </c>
      <c r="D393" s="72">
        <f>'Working counts'!D430/('Working counts'!D$436-'Working counts'!D$434)</f>
        <v>0.035997871643745905</v>
      </c>
      <c r="E393" s="72">
        <f>'Working counts'!E430/('Working counts'!E$436-'Working counts'!E$434)</f>
        <v>0.034602702267974905</v>
      </c>
      <c r="F393" s="72">
        <f>'Working counts'!F430/('Working counts'!F$436-'Working counts'!F$434)</f>
        <v>0.032727485243410674</v>
      </c>
      <c r="G393" s="72">
        <f>'Working counts'!G430/('Working counts'!G$436-'Working counts'!G$434)</f>
        <v>0.03620859174103767</v>
      </c>
      <c r="H393" s="72">
        <f>'Working counts'!H430/('Working counts'!H$436-'Working counts'!H$434)</f>
        <v>0.035641016076690665</v>
      </c>
      <c r="I393" s="72">
        <f>'Working counts'!I430/('Working counts'!I$436-'Working counts'!I$434)</f>
        <v>0.034233401146661735</v>
      </c>
      <c r="J393" s="72">
        <f>'Working counts'!J430/('Working counts'!J$436-'Working counts'!J$434)</f>
        <v>0.034884757304051765</v>
      </c>
      <c r="K393" s="14" t="s">
        <v>242</v>
      </c>
      <c r="L393" s="14" t="s">
        <v>242</v>
      </c>
      <c r="M393" s="14" t="s">
        <v>242</v>
      </c>
      <c r="N393" s="14" t="s">
        <v>242</v>
      </c>
      <c r="O393" s="14" t="s">
        <v>242</v>
      </c>
      <c r="P393" s="14" t="s">
        <v>242</v>
      </c>
      <c r="Q393" s="14" t="s">
        <v>242</v>
      </c>
      <c r="R393" s="72">
        <f>'Working counts'!R430/('Working counts'!R$436-'Working counts'!R$434)</f>
        <v>0.03235215286865215</v>
      </c>
      <c r="S393" s="72">
        <f>'Working counts'!S430/('Working counts'!S$436-'Working counts'!S$434)</f>
        <v>0.033361781363953756</v>
      </c>
      <c r="T393" s="72">
        <f>'Working counts'!T430/('Working counts'!T$436-'Working counts'!T$434)</f>
        <v>0.03457722042978024</v>
      </c>
      <c r="U393" s="72">
        <f>'Working counts'!U430/('Working counts'!U$436-'Working counts'!U$434)</f>
        <v>0.033293303416237395</v>
      </c>
      <c r="V393" s="72">
        <f>'Working counts'!V430/('Working counts'!V$436-'Working counts'!V$434)</f>
        <v>0.03459586215085043</v>
      </c>
      <c r="W393" t="s">
        <v>333</v>
      </c>
      <c r="X393" s="59">
        <f t="shared" si="42"/>
        <v>-0.004407539890374304</v>
      </c>
      <c r="Z393" s="59">
        <f t="shared" si="43"/>
        <v>0.03541240343309976</v>
      </c>
      <c r="AA393" s="31">
        <f t="shared" si="44"/>
        <v>0.033636064045894795</v>
      </c>
      <c r="AB393" s="59">
        <f t="shared" si="45"/>
        <v>0.0017763393872049643</v>
      </c>
      <c r="AC393" s="31">
        <f t="shared" si="46"/>
        <v>-0.05281056026000053</v>
      </c>
      <c r="AM393" s="9"/>
      <c r="AN393" s="9"/>
    </row>
    <row r="394" spans="1:40" ht="12.75">
      <c r="A394" s="18" t="s">
        <v>285</v>
      </c>
      <c r="B394" s="14" t="s">
        <v>242</v>
      </c>
      <c r="C394" s="72">
        <f>'Working counts'!C431/('Working counts'!C$436-'Working counts'!C$434)</f>
        <v>0.012167300380228136</v>
      </c>
      <c r="D394" s="72">
        <f>'Working counts'!D431/('Working counts'!D$436-'Working counts'!D$434)</f>
        <v>0.01055992141453831</v>
      </c>
      <c r="E394" s="72">
        <f>'Working counts'!E431/('Working counts'!E$436-'Working counts'!E$434)</f>
        <v>0.010455203474344539</v>
      </c>
      <c r="F394" s="72">
        <f>'Working counts'!F431/('Working counts'!F$436-'Working counts'!F$434)</f>
        <v>0.011532542419106617</v>
      </c>
      <c r="G394" s="72">
        <f>'Working counts'!G431/('Working counts'!G$436-'Working counts'!G$434)</f>
        <v>0.010909847224323099</v>
      </c>
      <c r="H394" s="72">
        <f>'Working counts'!H431/('Working counts'!H$436-'Working counts'!H$434)</f>
        <v>0.011059718751165654</v>
      </c>
      <c r="I394" s="72">
        <f>'Working counts'!I431/('Working counts'!I$436-'Working counts'!I$434)</f>
        <v>0.01707046421305715</v>
      </c>
      <c r="J394" s="72">
        <f>'Working counts'!J431/('Working counts'!J$436-'Working counts'!J$434)</f>
        <v>0.011782741225333786</v>
      </c>
      <c r="K394" s="14" t="s">
        <v>242</v>
      </c>
      <c r="L394" s="14" t="s">
        <v>242</v>
      </c>
      <c r="M394" s="14" t="s">
        <v>242</v>
      </c>
      <c r="N394" s="14" t="s">
        <v>242</v>
      </c>
      <c r="O394" s="14" t="s">
        <v>242</v>
      </c>
      <c r="P394" s="14" t="s">
        <v>242</v>
      </c>
      <c r="Q394" s="14" t="s">
        <v>242</v>
      </c>
      <c r="R394" s="72">
        <f>'Working counts'!R431/('Working counts'!R$436-'Working counts'!R$434)</f>
        <v>0.013416999069796775</v>
      </c>
      <c r="S394" s="72">
        <f>'Working counts'!S431/('Working counts'!S$436-'Working counts'!S$434)</f>
        <v>0.012242997905190473</v>
      </c>
      <c r="T394" s="72">
        <f>'Working counts'!T431/('Working counts'!T$436-'Working counts'!T$434)</f>
        <v>0.012235953004200401</v>
      </c>
      <c r="U394" s="72">
        <f>'Working counts'!U431/('Working counts'!U$436-'Working counts'!U$434)</f>
        <v>0.011993173845716272</v>
      </c>
      <c r="V394" s="72">
        <f>'Working counts'!V431/('Working counts'!V$436-'Working counts'!V$434)</f>
        <v>0.01268960194722313</v>
      </c>
      <c r="W394" t="s">
        <v>333</v>
      </c>
      <c r="X394" s="59">
        <f t="shared" si="42"/>
        <v>0.0005223015669949937</v>
      </c>
      <c r="Z394" s="59">
        <f t="shared" si="43"/>
        <v>0.01194221738776216</v>
      </c>
      <c r="AA394" s="31">
        <f t="shared" si="44"/>
        <v>0.012515745154425408</v>
      </c>
      <c r="AB394" s="59">
        <f t="shared" si="45"/>
        <v>-0.0005735277666632475</v>
      </c>
      <c r="AC394" s="31">
        <f t="shared" si="46"/>
        <v>0.045824500226457184</v>
      </c>
      <c r="AM394" s="9"/>
      <c r="AN394" s="9"/>
    </row>
    <row r="395" spans="1:40" ht="12.75">
      <c r="A395" s="18" t="s">
        <v>286</v>
      </c>
      <c r="B395" s="14" t="s">
        <v>242</v>
      </c>
      <c r="C395" s="72">
        <f>'Working counts'!C432/('Working counts'!C$436-'Working counts'!C$434)</f>
        <v>0</v>
      </c>
      <c r="D395" s="72">
        <f>'Working counts'!D432/('Working counts'!D$436-'Working counts'!D$434)</f>
        <v>0.03268254747871644</v>
      </c>
      <c r="E395" s="72">
        <f>'Working counts'!E432/('Working counts'!E$436-'Working counts'!E$434)</f>
        <v>0.026620556538523403</v>
      </c>
      <c r="F395" s="72">
        <f>'Working counts'!F432/('Working counts'!F$436-'Working counts'!F$434)</f>
        <v>0.026162507548750318</v>
      </c>
      <c r="G395" s="72">
        <f>'Working counts'!G432/('Working counts'!G$436-'Working counts'!G$434)</f>
        <v>0.02486386325820602</v>
      </c>
      <c r="H395" s="72">
        <f>'Working counts'!H432/('Working counts'!H$436-'Working counts'!H$434)</f>
        <v>0.023518221492782276</v>
      </c>
      <c r="I395" s="72">
        <f>'Working counts'!I432/('Working counts'!I$436-'Working counts'!I$434)</f>
        <v>0.02750138709080821</v>
      </c>
      <c r="J395" s="72">
        <f>'Working counts'!J432/('Working counts'!J$436-'Working counts'!J$434)</f>
        <v>0.02631062942298437</v>
      </c>
      <c r="K395" s="14" t="s">
        <v>242</v>
      </c>
      <c r="L395" s="14" t="s">
        <v>242</v>
      </c>
      <c r="M395" s="14" t="s">
        <v>242</v>
      </c>
      <c r="N395" s="14" t="s">
        <v>242</v>
      </c>
      <c r="O395" s="14" t="s">
        <v>242</v>
      </c>
      <c r="P395" s="14" t="s">
        <v>242</v>
      </c>
      <c r="Q395" s="14" t="s">
        <v>242</v>
      </c>
      <c r="R395" s="72">
        <f>'Working counts'!R432/('Working counts'!R$436-'Working counts'!R$434)</f>
        <v>0.03000299556971006</v>
      </c>
      <c r="S395" s="72">
        <f>'Working counts'!S432/('Working counts'!S$436-'Working counts'!S$434)</f>
        <v>0.02707735278144154</v>
      </c>
      <c r="T395" s="72">
        <f>'Working counts'!T432/('Working counts'!T$436-'Working counts'!T$434)</f>
        <v>0.02897668472636513</v>
      </c>
      <c r="U395" s="72">
        <f>'Working counts'!U432/('Working counts'!U$436-'Working counts'!U$434)</f>
        <v>0.03223461745093702</v>
      </c>
      <c r="V395" s="72">
        <f>'Working counts'!V432/('Working counts'!V$436-'Working counts'!V$434)</f>
        <v>0.036005817922764104</v>
      </c>
      <c r="W395" t="s">
        <v>333</v>
      </c>
      <c r="X395" s="59">
        <f t="shared" si="42"/>
        <v>0.036005817922764104</v>
      </c>
      <c r="Z395" s="59">
        <f t="shared" si="43"/>
        <v>0.02345746410384638</v>
      </c>
      <c r="AA395" s="31">
        <f t="shared" si="44"/>
        <v>0.030859493690243565</v>
      </c>
      <c r="AB395" s="59">
        <f t="shared" si="45"/>
        <v>-0.007402029586397185</v>
      </c>
      <c r="AC395" s="31">
        <f t="shared" si="46"/>
        <v>0.2398623146800813</v>
      </c>
      <c r="AM395" s="9"/>
      <c r="AN395" s="9"/>
    </row>
    <row r="396" spans="1:40" ht="12.75">
      <c r="A396" s="18" t="s">
        <v>287</v>
      </c>
      <c r="B396" s="14" t="s">
        <v>242</v>
      </c>
      <c r="C396" s="72">
        <f>'Working counts'!C433/('Working counts'!C$436-'Working counts'!C$434)</f>
        <v>0.0426055633380028</v>
      </c>
      <c r="D396" s="72">
        <f>'Working counts'!D433/('Working counts'!D$436-'Working counts'!D$434)</f>
        <v>0.10435085134250163</v>
      </c>
      <c r="E396" s="72">
        <f>'Working counts'!E433/('Working counts'!E$436-'Working counts'!E$434)</f>
        <v>0.11327810841241756</v>
      </c>
      <c r="F396" s="72">
        <f>'Working counts'!F433/('Working counts'!F$436-'Working counts'!F$434)</f>
        <v>0.11684491457736738</v>
      </c>
      <c r="G396" s="72">
        <f>'Working counts'!G433/('Working counts'!G$436-'Working counts'!G$434)</f>
        <v>0.11530025714717894</v>
      </c>
      <c r="H396" s="72">
        <f>'Working counts'!H433/('Working counts'!H$436-'Working counts'!H$434)</f>
        <v>0.11779626244917751</v>
      </c>
      <c r="I396" s="72">
        <f>'Working counts'!I433/('Working counts'!I$436-'Working counts'!I$434)</f>
        <v>0.11949324949140004</v>
      </c>
      <c r="J396" s="72">
        <f>'Working counts'!J433/('Working counts'!J$436-'Working counts'!J$434)</f>
        <v>0.12071516426317759</v>
      </c>
      <c r="K396" s="14" t="s">
        <v>242</v>
      </c>
      <c r="L396" s="14" t="s">
        <v>242</v>
      </c>
      <c r="M396" s="14" t="s">
        <v>242</v>
      </c>
      <c r="N396" s="14" t="s">
        <v>242</v>
      </c>
      <c r="O396" s="14" t="s">
        <v>242</v>
      </c>
      <c r="P396" s="14" t="s">
        <v>242</v>
      </c>
      <c r="Q396" s="14" t="s">
        <v>242</v>
      </c>
      <c r="R396" s="72">
        <f>'Working counts'!R433/('Working counts'!R$436-'Working counts'!R$434)</f>
        <v>0.09313068567014048</v>
      </c>
      <c r="S396" s="72">
        <f>'Working counts'!S433/('Working counts'!S$436-'Working counts'!S$434)</f>
        <v>0.09074404530995422</v>
      </c>
      <c r="T396" s="72">
        <f>'Working counts'!T433/('Working counts'!T$436-'Working counts'!T$434)</f>
        <v>0.08878675351555367</v>
      </c>
      <c r="U396" s="72">
        <f>'Working counts'!U433/('Working counts'!U$436-'Working counts'!U$434)</f>
        <v>0.0900989160319818</v>
      </c>
      <c r="V396" s="72">
        <f>'Working counts'!V433/('Working counts'!V$436-'Working counts'!V$434)</f>
        <v>0.09305708094630295</v>
      </c>
      <c r="W396" t="s">
        <v>333</v>
      </c>
      <c r="X396" s="59">
        <f t="shared" si="42"/>
        <v>0.050451517608300155</v>
      </c>
      <c r="Z396" s="59">
        <f t="shared" si="43"/>
        <v>0.10629804637765294</v>
      </c>
      <c r="AA396" s="31">
        <f t="shared" si="44"/>
        <v>0.09116349629478662</v>
      </c>
      <c r="AB396" s="59">
        <f t="shared" si="45"/>
        <v>0.015134550082866322</v>
      </c>
      <c r="AC396" s="31">
        <f t="shared" si="46"/>
        <v>-0.1660154634035446</v>
      </c>
      <c r="AM396" s="9"/>
      <c r="AN396" s="9"/>
    </row>
    <row r="397" spans="1:40" ht="12.75">
      <c r="A397" s="18" t="s">
        <v>86</v>
      </c>
      <c r="B397" s="14" t="s">
        <v>242</v>
      </c>
      <c r="C397" s="14">
        <v>19.454879745577422</v>
      </c>
      <c r="D397" s="14">
        <v>20.691435513261794</v>
      </c>
      <c r="E397" s="14">
        <v>20.478176527643065</v>
      </c>
      <c r="F397" s="14">
        <v>20.357075767063243</v>
      </c>
      <c r="G397" s="14">
        <v>20.733395109702876</v>
      </c>
      <c r="H397" s="14">
        <v>20.620756402620607</v>
      </c>
      <c r="I397" s="14">
        <v>20.69765359125918</v>
      </c>
      <c r="J397" s="14">
        <v>20.747071412480288</v>
      </c>
      <c r="K397" s="14" t="s">
        <v>242</v>
      </c>
      <c r="L397" s="14" t="s">
        <v>242</v>
      </c>
      <c r="M397" s="14" t="s">
        <v>242</v>
      </c>
      <c r="N397" s="14" t="s">
        <v>242</v>
      </c>
      <c r="O397" s="14" t="s">
        <v>242</v>
      </c>
      <c r="P397" s="14" t="s">
        <v>242</v>
      </c>
      <c r="Q397" s="14" t="s">
        <v>242</v>
      </c>
      <c r="R397" s="9">
        <v>21</v>
      </c>
      <c r="S397" s="9">
        <v>21</v>
      </c>
      <c r="T397" s="9">
        <v>21</v>
      </c>
      <c r="U397" s="9">
        <v>21</v>
      </c>
      <c r="V397" s="9">
        <v>22</v>
      </c>
      <c r="AM397" s="9"/>
      <c r="AN397" s="9"/>
    </row>
    <row r="398" spans="1:40" ht="12.75">
      <c r="A398" s="18" t="s">
        <v>307</v>
      </c>
      <c r="B398" s="14" t="s">
        <v>242</v>
      </c>
      <c r="C398" s="31">
        <f>SUM(C389:C396)</f>
        <v>1</v>
      </c>
      <c r="D398" s="31">
        <f>SUM(D389:D396)</f>
        <v>1</v>
      </c>
      <c r="E398" s="31">
        <f aca="true" t="shared" si="47" ref="E398:J398">SUM(E389:E396)</f>
        <v>0.9999999999999999</v>
      </c>
      <c r="F398" s="31">
        <f t="shared" si="47"/>
        <v>0.9999805193540218</v>
      </c>
      <c r="G398" s="31">
        <f t="shared" si="47"/>
        <v>1.0000378157616092</v>
      </c>
      <c r="H398" s="31">
        <f t="shared" si="47"/>
        <v>1</v>
      </c>
      <c r="I398" s="31">
        <f t="shared" si="47"/>
        <v>1.000036989088219</v>
      </c>
      <c r="J398" s="31">
        <f t="shared" si="47"/>
        <v>1.00001782562969</v>
      </c>
      <c r="R398" s="31">
        <f>SUM(R389:R396)</f>
        <v>1</v>
      </c>
      <c r="S398" s="31">
        <f>SUM(S389:S396)</f>
        <v>1</v>
      </c>
      <c r="T398" s="31">
        <f>SUM(T389:T396)</f>
        <v>1.0000000000000002</v>
      </c>
      <c r="U398" s="31">
        <f>SUM(U389:U396)</f>
        <v>1</v>
      </c>
      <c r="V398" s="31">
        <f>SUM(V389:V396)</f>
        <v>1</v>
      </c>
      <c r="AM398" s="9"/>
      <c r="AN398" s="9"/>
    </row>
    <row r="399" spans="39:40" ht="12.75">
      <c r="AM399" s="9"/>
      <c r="AN399" s="9"/>
    </row>
    <row r="400" spans="1:40" ht="12.75">
      <c r="A400" s="18" t="s">
        <v>289</v>
      </c>
      <c r="C400" s="48"/>
      <c r="D400" s="48"/>
      <c r="E400" s="48"/>
      <c r="F400" s="48"/>
      <c r="G400" s="48"/>
      <c r="H400" s="48"/>
      <c r="I400" s="48"/>
      <c r="J400" s="48" t="s">
        <v>288</v>
      </c>
      <c r="AM400" s="9"/>
      <c r="AN400" s="9"/>
    </row>
    <row r="401" spans="1:40" ht="12.75">
      <c r="A401" s="18" t="s">
        <v>290</v>
      </c>
      <c r="B401" s="14" t="s">
        <v>242</v>
      </c>
      <c r="C401" s="72">
        <f>'Working counts'!C439/('Working counts'!C$436-'Working counts'!C$447)</f>
        <v>0.13575587231479622</v>
      </c>
      <c r="D401" s="72">
        <f>'Working counts'!D439/('Working counts'!D$436-'Working counts'!D$447)</f>
        <v>0.09207365892714171</v>
      </c>
      <c r="E401" s="72">
        <f>'Working counts'!E439/('Working counts'!E$436-'Working counts'!E$447)</f>
        <v>0.08370826187834157</v>
      </c>
      <c r="F401" s="72">
        <f>'Working counts'!F439/('Working counts'!F$436-'Working counts'!F$447)</f>
        <v>0.08456270788495403</v>
      </c>
      <c r="G401" s="72">
        <f>'Working counts'!G439/('Working counts'!G$436-'Working counts'!G$447)</f>
        <v>0.08466932910400703</v>
      </c>
      <c r="H401" s="72">
        <f>'Working counts'!H439/('Working counts'!H$436-'Working counts'!H$447)</f>
        <v>0.08246800972429</v>
      </c>
      <c r="I401" s="72">
        <f>'Working counts'!I439/('Working counts'!I$436-'Working counts'!I$447)</f>
        <v>0.07889772517107453</v>
      </c>
      <c r="J401" s="72">
        <f>'Working counts'!J439/('Working counts'!J$436-'Working counts'!J$447)</f>
        <v>0.08064314871922851</v>
      </c>
      <c r="K401" s="14" t="s">
        <v>242</v>
      </c>
      <c r="L401" s="14" t="s">
        <v>242</v>
      </c>
      <c r="M401" s="14" t="s">
        <v>242</v>
      </c>
      <c r="N401" s="14" t="s">
        <v>242</v>
      </c>
      <c r="O401" s="14" t="s">
        <v>242</v>
      </c>
      <c r="P401" s="14" t="s">
        <v>242</v>
      </c>
      <c r="Q401" s="14" t="s">
        <v>242</v>
      </c>
      <c r="R401" s="72">
        <f>'Working counts'!R439/('Working counts'!R$436-'Working counts'!R$447)</f>
        <v>0.04384568086146278</v>
      </c>
      <c r="S401" s="72">
        <f>'Working counts'!S439/('Working counts'!S$436-'Working counts'!S$447)</f>
        <v>0.04136860889130266</v>
      </c>
      <c r="T401" s="72">
        <f>'Working counts'!T439/('Working counts'!T$436-'Working counts'!T$447)</f>
        <v>0.0433432763133865</v>
      </c>
      <c r="U401" s="72">
        <f>'Working counts'!U439/('Working counts'!U$436-'Working counts'!U$447)</f>
        <v>0.039977246152387576</v>
      </c>
      <c r="V401" s="72">
        <f>'Working counts'!V439/('Working counts'!V$436-'Working counts'!V$447)</f>
        <v>0.03787586452551278</v>
      </c>
      <c r="W401" t="s">
        <v>333</v>
      </c>
      <c r="X401" s="59">
        <f aca="true" t="shared" si="48" ref="X401:X407">V401-C401</f>
        <v>-0.09788000778928344</v>
      </c>
      <c r="Z401" s="59">
        <f aca="true" t="shared" si="49" ref="Z401:Z408">SUM(C401:J401)/8</f>
        <v>0.0903473392154792</v>
      </c>
      <c r="AA401" s="31">
        <f aca="true" t="shared" si="50" ref="AA401:AA408">SUM(R401:V401)/5</f>
        <v>0.04128213534881046</v>
      </c>
      <c r="AB401" s="59">
        <f aca="true" t="shared" si="51" ref="AB401:AB408">Z401-AA401</f>
        <v>0.049065203866668745</v>
      </c>
      <c r="AC401" s="31">
        <f aca="true" t="shared" si="52" ref="AC401:AC408">(AA401-Z401)/AA401</f>
        <v>-1.1885335739562841</v>
      </c>
      <c r="AM401" s="9"/>
      <c r="AN401" s="9"/>
    </row>
    <row r="402" spans="1:40" ht="12.75">
      <c r="A402" s="18" t="s">
        <v>291</v>
      </c>
      <c r="B402" s="14" t="s">
        <v>242</v>
      </c>
      <c r="C402" s="72">
        <f>'Working counts'!C440/('Working counts'!C$436-'Working counts'!C$447)</f>
        <v>0.23471190523991167</v>
      </c>
      <c r="D402" s="72">
        <f>'Working counts'!D440/('Working counts'!D$436-'Working counts'!D$447)</f>
        <v>0.2725667713658106</v>
      </c>
      <c r="E402" s="72">
        <f>'Working counts'!E440/('Working counts'!E$436-'Working counts'!E$447)</f>
        <v>0.26780994653485324</v>
      </c>
      <c r="F402" s="72">
        <f>'Working counts'!F440/('Working counts'!F$436-'Working counts'!F$447)</f>
        <v>0.2699080414791626</v>
      </c>
      <c r="G402" s="72">
        <f>'Working counts'!G440/('Working counts'!G$436-'Working counts'!G$447)</f>
        <v>0.22811610265033536</v>
      </c>
      <c r="H402" s="72">
        <f>'Working counts'!H440/('Working counts'!H$436-'Working counts'!H$447)</f>
        <v>0.23034883063528258</v>
      </c>
      <c r="I402" s="72">
        <f>'Working counts'!I440/('Working counts'!I$436-'Working counts'!I$447)</f>
        <v>0.22069539485851675</v>
      </c>
      <c r="J402" s="72">
        <f>'Working counts'!J440/('Working counts'!J$436-'Working counts'!J$447)</f>
        <v>0.2184352662257794</v>
      </c>
      <c r="K402" s="14" t="s">
        <v>242</v>
      </c>
      <c r="L402" s="14" t="s">
        <v>242</v>
      </c>
      <c r="M402" s="14" t="s">
        <v>242</v>
      </c>
      <c r="N402" s="14" t="s">
        <v>242</v>
      </c>
      <c r="O402" s="14" t="s">
        <v>242</v>
      </c>
      <c r="P402" s="14" t="s">
        <v>242</v>
      </c>
      <c r="Q402" s="14" t="s">
        <v>242</v>
      </c>
      <c r="R402" s="72">
        <f>'Working counts'!R440/('Working counts'!R$436-'Working counts'!R$447)</f>
        <v>0.204250555757012</v>
      </c>
      <c r="S402" s="72">
        <f>'Working counts'!S440/('Working counts'!S$436-'Working counts'!S$447)</f>
        <v>0.19937931569555434</v>
      </c>
      <c r="T402" s="72">
        <f>'Working counts'!T440/('Working counts'!T$436-'Working counts'!T$447)</f>
        <v>0.1913922201254033</v>
      </c>
      <c r="U402" s="72">
        <f>'Working counts'!U440/('Working counts'!U$436-'Working counts'!U$447)</f>
        <v>0.1880194671807351</v>
      </c>
      <c r="V402" s="72">
        <f>'Working counts'!V440/('Working counts'!V$436-'Working counts'!V$447)</f>
        <v>0.1789901748345157</v>
      </c>
      <c r="W402" t="s">
        <v>333</v>
      </c>
      <c r="X402" s="59">
        <f t="shared" si="48"/>
        <v>-0.055721730405395964</v>
      </c>
      <c r="Z402" s="59">
        <f t="shared" si="49"/>
        <v>0.2428240323737065</v>
      </c>
      <c r="AA402" s="31">
        <f t="shared" si="50"/>
        <v>0.1924063467186441</v>
      </c>
      <c r="AB402" s="59">
        <f t="shared" si="51"/>
        <v>0.05041768565506241</v>
      </c>
      <c r="AC402" s="31">
        <f t="shared" si="52"/>
        <v>-0.2620375393790321</v>
      </c>
      <c r="AM402" s="9"/>
      <c r="AN402" s="9"/>
    </row>
    <row r="403" spans="1:40" ht="12.75">
      <c r="A403" s="18" t="s">
        <v>292</v>
      </c>
      <c r="B403" s="14" t="s">
        <v>242</v>
      </c>
      <c r="C403" s="72">
        <f>'Working counts'!C441/('Working counts'!C$436-'Working counts'!C$447)</f>
        <v>0.2088937964264204</v>
      </c>
      <c r="D403" s="72">
        <f>'Working counts'!D441/('Working counts'!D$436-'Working counts'!D$447)</f>
        <v>0.17796801543799143</v>
      </c>
      <c r="E403" s="72">
        <f>'Working counts'!E441/('Working counts'!E$436-'Working counts'!E$447)</f>
        <v>0.17649551094522345</v>
      </c>
      <c r="F403" s="72">
        <f>'Working counts'!F441/('Working counts'!F$436-'Working counts'!F$447)</f>
        <v>0.17209939346507533</v>
      </c>
      <c r="G403" s="72">
        <f>'Working counts'!G441/('Working counts'!G$436-'Working counts'!G$447)</f>
        <v>0.19790571914470792</v>
      </c>
      <c r="H403" s="72">
        <f>'Working counts'!H441/('Working counts'!H$436-'Working counts'!H$447)</f>
        <v>0.19814183140794905</v>
      </c>
      <c r="I403" s="72">
        <f>'Working counts'!I441/('Working counts'!I$436-'Working counts'!I$447)</f>
        <v>0.19554281486961347</v>
      </c>
      <c r="J403" s="72">
        <f>'Working counts'!J441/('Working counts'!J$436-'Working counts'!J$447)</f>
        <v>0.19561846022210735</v>
      </c>
      <c r="K403" s="14" t="s">
        <v>242</v>
      </c>
      <c r="L403" s="14" t="s">
        <v>242</v>
      </c>
      <c r="M403" s="14" t="s">
        <v>242</v>
      </c>
      <c r="N403" s="14" t="s">
        <v>242</v>
      </c>
      <c r="O403" s="14" t="s">
        <v>242</v>
      </c>
      <c r="P403" s="14" t="s">
        <v>242</v>
      </c>
      <c r="Q403" s="14" t="s">
        <v>242</v>
      </c>
      <c r="R403" s="72">
        <f>'Working counts'!R441/('Working counts'!R$436-'Working counts'!R$447)</f>
        <v>0.19535844356504328</v>
      </c>
      <c r="S403" s="72">
        <f>'Working counts'!S441/('Working counts'!S$436-'Working counts'!S$447)</f>
        <v>0.19542245325471333</v>
      </c>
      <c r="T403" s="72">
        <f>'Working counts'!T441/('Working counts'!T$436-'Working counts'!T$447)</f>
        <v>0.1942381445181713</v>
      </c>
      <c r="U403" s="72">
        <f>'Working counts'!U441/('Working counts'!U$436-'Working counts'!U$447)</f>
        <v>0.19389754448061183</v>
      </c>
      <c r="V403" s="72">
        <f>'Working counts'!V441/('Working counts'!V$436-'Working counts'!V$447)</f>
        <v>0.1925109086051827</v>
      </c>
      <c r="W403" t="s">
        <v>333</v>
      </c>
      <c r="X403" s="59">
        <f t="shared" si="48"/>
        <v>-0.0163828878212377</v>
      </c>
      <c r="Z403" s="59">
        <f t="shared" si="49"/>
        <v>0.19033319273988603</v>
      </c>
      <c r="AA403" s="31">
        <f t="shared" si="50"/>
        <v>0.1942854988847445</v>
      </c>
      <c r="AB403" s="59">
        <f t="shared" si="51"/>
        <v>-0.003952306144858475</v>
      </c>
      <c r="AC403" s="31">
        <f t="shared" si="52"/>
        <v>0.020342774769840602</v>
      </c>
      <c r="AM403" s="9"/>
      <c r="AN403" s="9"/>
    </row>
    <row r="404" spans="1:40" ht="12.75">
      <c r="A404" s="18" t="s">
        <v>293</v>
      </c>
      <c r="B404" s="14" t="s">
        <v>242</v>
      </c>
      <c r="C404" s="72">
        <f>'Working counts'!C442/('Working counts'!C$436-'Working counts'!C$447)</f>
        <v>0.30710700662517565</v>
      </c>
      <c r="D404" s="72">
        <f>'Working counts'!D442/('Working counts'!D$436-'Working counts'!D$447)</f>
        <v>0.26649011516905835</v>
      </c>
      <c r="E404" s="72">
        <f>'Working counts'!E442/('Working counts'!E$436-'Working counts'!E$447)</f>
        <v>0.27567840209825484</v>
      </c>
      <c r="F404" s="72">
        <f>'Working counts'!F442/('Working counts'!F$436-'Working counts'!F$447)</f>
        <v>0.2738211700254353</v>
      </c>
      <c r="G404" s="72">
        <f>'Working counts'!G442/('Working counts'!G$436-'Working counts'!G$447)</f>
        <v>0.28891903770087707</v>
      </c>
      <c r="H404" s="72">
        <f>'Working counts'!H442/('Working counts'!H$436-'Working counts'!H$447)</f>
        <v>0.28769575787271734</v>
      </c>
      <c r="I404" s="72">
        <f>'Working counts'!I442/('Working counts'!I$436-'Working counts'!I$447)</f>
        <v>0.2912890697244313</v>
      </c>
      <c r="J404" s="72">
        <f>'Working counts'!J442/('Working counts'!J$436-'Working counts'!J$447)</f>
        <v>0.2934455159628514</v>
      </c>
      <c r="K404" s="14" t="s">
        <v>242</v>
      </c>
      <c r="L404" s="14" t="s">
        <v>242</v>
      </c>
      <c r="M404" s="14" t="s">
        <v>242</v>
      </c>
      <c r="N404" s="14" t="s">
        <v>242</v>
      </c>
      <c r="O404" s="14" t="s">
        <v>242</v>
      </c>
      <c r="P404" s="14" t="s">
        <v>242</v>
      </c>
      <c r="Q404" s="14" t="s">
        <v>242</v>
      </c>
      <c r="R404" s="72">
        <f>'Working counts'!R442/('Working counts'!R$436-'Working counts'!R$447)</f>
        <v>0.34816403109086036</v>
      </c>
      <c r="S404" s="72">
        <f>'Working counts'!S442/('Working counts'!S$436-'Working counts'!S$447)</f>
        <v>0.35678485530297155</v>
      </c>
      <c r="T404" s="72">
        <f>'Working counts'!T442/('Working counts'!T$436-'Working counts'!T$447)</f>
        <v>0.35835819078346626</v>
      </c>
      <c r="U404" s="72">
        <f>'Working counts'!U442/('Working counts'!U$436-'Working counts'!U$447)</f>
        <v>0.3591947666150491</v>
      </c>
      <c r="V404" s="72">
        <f>'Working counts'!V442/('Working counts'!V$436-'Working counts'!V$447)</f>
        <v>0.36378343079343406</v>
      </c>
      <c r="W404" t="s">
        <v>333</v>
      </c>
      <c r="X404" s="59">
        <f t="shared" si="48"/>
        <v>0.05667642416825841</v>
      </c>
      <c r="Z404" s="59">
        <f t="shared" si="49"/>
        <v>0.2855557593973501</v>
      </c>
      <c r="AA404" s="31">
        <f t="shared" si="50"/>
        <v>0.3572570549171562</v>
      </c>
      <c r="AB404" s="59">
        <f t="shared" si="51"/>
        <v>-0.07170129551980609</v>
      </c>
      <c r="AC404" s="31">
        <f t="shared" si="52"/>
        <v>0.20069945304910156</v>
      </c>
      <c r="AM404" s="9"/>
      <c r="AN404" s="9"/>
    </row>
    <row r="405" spans="1:40" ht="12.75">
      <c r="A405" s="18" t="s">
        <v>319</v>
      </c>
      <c r="B405" s="14" t="s">
        <v>242</v>
      </c>
      <c r="C405" s="72">
        <f>'Working counts'!C443/('Working counts'!C$436-'Working counts'!C$447)</f>
        <v>0.05185705681590042</v>
      </c>
      <c r="D405" s="72">
        <f>'Working counts'!D443/('Working counts'!D$436-'Working counts'!D$447)</f>
        <v>0.04070949066945864</v>
      </c>
      <c r="E405" s="72">
        <f>'Working counts'!E443/('Working counts'!E$436-'Working counts'!E$447)</f>
        <v>0.042308080298597804</v>
      </c>
      <c r="F405" s="72">
        <f>'Working counts'!F443/('Working counts'!F$436-'Working counts'!F$447)</f>
        <v>0.042320485227939734</v>
      </c>
      <c r="G405" s="72">
        <f>'Working counts'!G443/('Working counts'!G$436-'Working counts'!G$447)</f>
        <v>0.044790094204421683</v>
      </c>
      <c r="H405" s="72">
        <f>'Working counts'!H443/('Working counts'!H$436-'Working counts'!H$447)</f>
        <v>0.04534232892976273</v>
      </c>
      <c r="I405" s="72">
        <f>'Working counts'!I443/('Working counts'!I$436-'Working counts'!I$447)</f>
        <v>0.04703162567042722</v>
      </c>
      <c r="J405" s="72">
        <f>'Working counts'!J443/('Working counts'!J$436-'Working counts'!J$447)</f>
        <v>0.04893135350006239</v>
      </c>
      <c r="K405" s="14" t="s">
        <v>242</v>
      </c>
      <c r="L405" s="14" t="s">
        <v>242</v>
      </c>
      <c r="M405" s="14" t="s">
        <v>242</v>
      </c>
      <c r="N405" s="14" t="s">
        <v>242</v>
      </c>
      <c r="O405" s="14" t="s">
        <v>242</v>
      </c>
      <c r="P405" s="14" t="s">
        <v>242</v>
      </c>
      <c r="Q405" s="14" t="s">
        <v>242</v>
      </c>
      <c r="R405" s="72">
        <f>'Working counts'!R443/('Working counts'!R$436-'Working counts'!R$447)</f>
        <v>0.06530341967931638</v>
      </c>
      <c r="S405" s="72">
        <f>'Working counts'!S443/('Working counts'!S$436-'Working counts'!S$447)</f>
        <v>0.06964077895880208</v>
      </c>
      <c r="T405" s="72">
        <f>'Working counts'!T443/('Working counts'!T$436-'Working counts'!T$447)</f>
        <v>0.0746027880927741</v>
      </c>
      <c r="U405" s="72">
        <f>'Working counts'!U443/('Working counts'!U$436-'Working counts'!U$447)</f>
        <v>0.0759567676895364</v>
      </c>
      <c r="V405" s="72">
        <f>'Working counts'!V443/('Working counts'!V$436-'Working counts'!V$447)</f>
        <v>0.07634539463919975</v>
      </c>
      <c r="W405" t="s">
        <v>333</v>
      </c>
      <c r="X405" s="59">
        <f t="shared" si="48"/>
        <v>0.024488337823299323</v>
      </c>
      <c r="Z405" s="59">
        <f t="shared" si="49"/>
        <v>0.04541131441457133</v>
      </c>
      <c r="AA405" s="31">
        <f t="shared" si="50"/>
        <v>0.07236982981192575</v>
      </c>
      <c r="AB405" s="59">
        <f t="shared" si="51"/>
        <v>-0.026958515397354416</v>
      </c>
      <c r="AC405" s="31">
        <f t="shared" si="52"/>
        <v>0.3725104158378434</v>
      </c>
      <c r="AM405" s="9"/>
      <c r="AN405" s="9"/>
    </row>
    <row r="406" spans="1:40" ht="12.75">
      <c r="A406" s="18" t="s">
        <v>294</v>
      </c>
      <c r="B406" s="14" t="s">
        <v>242</v>
      </c>
      <c r="C406" s="72">
        <f>'Working counts'!C444/('Working counts'!C$436-'Working counts'!C$447)</f>
        <v>0.018952017667135113</v>
      </c>
      <c r="D406" s="72">
        <f>'Working counts'!D444/('Working counts'!D$436-'Working counts'!D$447)</f>
        <v>0.012646014247295272</v>
      </c>
      <c r="E406" s="72">
        <f>'Working counts'!E444/('Working counts'!E$436-'Working counts'!E$447)</f>
        <v>0.013638656309896096</v>
      </c>
      <c r="F406" s="72">
        <f>'Working counts'!F444/('Working counts'!F$436-'Working counts'!F$447)</f>
        <v>0.013637252983760517</v>
      </c>
      <c r="G406" s="72">
        <f>'Working counts'!G444/('Working counts'!G$436-'Working counts'!G$447)</f>
        <v>0.013987350237899604</v>
      </c>
      <c r="H406" s="72">
        <f>'Working counts'!H444/('Working counts'!H$436-'Working counts'!H$447)</f>
        <v>0.013229557318658953</v>
      </c>
      <c r="I406" s="72">
        <f>'Working counts'!I444/('Working counts'!I$436-'Working counts'!I$447)</f>
        <v>0.01956722766783799</v>
      </c>
      <c r="J406" s="72">
        <f>'Working counts'!J444/('Working counts'!J$436-'Working counts'!J$447)</f>
        <v>0.01593611294318972</v>
      </c>
      <c r="K406" s="14" t="s">
        <v>242</v>
      </c>
      <c r="L406" s="14" t="s">
        <v>242</v>
      </c>
      <c r="M406" s="14" t="s">
        <v>242</v>
      </c>
      <c r="N406" s="14" t="s">
        <v>242</v>
      </c>
      <c r="O406" s="14" t="s">
        <v>242</v>
      </c>
      <c r="P406" s="14" t="s">
        <v>242</v>
      </c>
      <c r="Q406" s="14" t="s">
        <v>242</v>
      </c>
      <c r="R406" s="72">
        <f>'Working counts'!R444/('Working counts'!R$436-'Working counts'!R$447)</f>
        <v>0.019928421650085924</v>
      </c>
      <c r="S406" s="72">
        <f>'Working counts'!S444/('Working counts'!S$436-'Working counts'!S$447)</f>
        <v>0.01956707269764916</v>
      </c>
      <c r="T406" s="72">
        <f>'Working counts'!T444/('Working counts'!T$436-'Working counts'!T$447)</f>
        <v>0.02031716077189992</v>
      </c>
      <c r="U406" s="72">
        <f>'Working counts'!U444/('Working counts'!U$436-'Working counts'!U$447)</f>
        <v>0.020604873115696993</v>
      </c>
      <c r="V406" s="72">
        <f>'Working counts'!V444/('Working counts'!V$436-'Working counts'!V$447)</f>
        <v>0.021446169372792305</v>
      </c>
      <c r="W406" t="s">
        <v>333</v>
      </c>
      <c r="X406" s="59">
        <f t="shared" si="48"/>
        <v>0.0024941517056571924</v>
      </c>
      <c r="Z406" s="59">
        <f t="shared" si="49"/>
        <v>0.015199273671959156</v>
      </c>
      <c r="AA406" s="31">
        <f t="shared" si="50"/>
        <v>0.020372739521624862</v>
      </c>
      <c r="AB406" s="59">
        <f t="shared" si="51"/>
        <v>-0.005173465849665706</v>
      </c>
      <c r="AC406" s="31">
        <f t="shared" si="52"/>
        <v>0.25394060745607017</v>
      </c>
      <c r="AM406" s="9"/>
      <c r="AN406" s="9"/>
    </row>
    <row r="407" spans="1:40" ht="12.75">
      <c r="A407" s="18" t="s">
        <v>286</v>
      </c>
      <c r="B407" s="14" t="s">
        <v>242</v>
      </c>
      <c r="C407" s="72">
        <f>'Working counts'!C445/(SUM('Working counts'!C$439:C$447)-'Working counts'!C$447)</f>
        <v>0</v>
      </c>
      <c r="D407" s="72">
        <f>'Working counts'!D445/(SUM('Working counts'!D$439:D$447)-'Working counts'!D$447)</f>
        <v>0.03278789496376291</v>
      </c>
      <c r="E407" s="72">
        <f>'Working counts'!E445/(SUM('Working counts'!E$439:E$447)-'Working counts'!E$447)</f>
        <v>0.026711858935560665</v>
      </c>
      <c r="F407" s="72">
        <f>'Working counts'!F445/(SUM('Working counts'!F$439:F$447)-'Working counts'!F$447)</f>
        <v>0.026277172317987048</v>
      </c>
      <c r="G407" s="72">
        <f>'Working counts'!G445/(SUM('Working counts'!G$439:G$447)-'Working counts'!G$447)</f>
        <v>0.025126588325212574</v>
      </c>
      <c r="H407" s="72">
        <f>'Working counts'!H445/(SUM('Working counts'!H$439:H$447)-'Working counts'!H$447)</f>
        <v>0.023763756972712196</v>
      </c>
      <c r="I407" s="72">
        <f>'Working counts'!I445/(SUM('Working counts'!I$439:I$447)-'Working counts'!I$447)</f>
        <v>0.027500878474598214</v>
      </c>
      <c r="J407" s="72">
        <f>'Working counts'!J445/(SUM('Working counts'!J$439:J$447)-'Working counts'!J$447)</f>
        <v>0.02630969144935028</v>
      </c>
      <c r="K407" s="14" t="s">
        <v>242</v>
      </c>
      <c r="L407" s="14" t="s">
        <v>242</v>
      </c>
      <c r="M407" s="14" t="s">
        <v>242</v>
      </c>
      <c r="N407" s="14" t="s">
        <v>242</v>
      </c>
      <c r="O407" s="14" t="s">
        <v>242</v>
      </c>
      <c r="P407" s="14" t="s">
        <v>242</v>
      </c>
      <c r="Q407" s="14" t="s">
        <v>242</v>
      </c>
      <c r="R407" s="72">
        <f>'Working counts'!R445/(SUM('Working counts'!R$439:R$447)-'Working counts'!R$447)</f>
        <v>0.030003468609087754</v>
      </c>
      <c r="S407" s="72">
        <f>'Working counts'!S445/(SUM('Working counts'!S$439:S$447)-'Working counts'!S$447)</f>
        <v>0.02707777295015828</v>
      </c>
      <c r="T407" s="72">
        <f>'Working counts'!T445/(SUM('Working counts'!T$439:T$447)-'Working counts'!T$447)</f>
        <v>0.02897624374134441</v>
      </c>
      <c r="U407" s="72">
        <f>'Working counts'!U445/(SUM('Working counts'!U$439:U$447)-'Working counts'!U$447)</f>
        <v>0.032235126807300306</v>
      </c>
      <c r="V407" s="72">
        <f>'Working counts'!V445/(SUM('Working counts'!V$439:V$447)-'Working counts'!V$447)</f>
        <v>0.036005283545318276</v>
      </c>
      <c r="W407" t="s">
        <v>333</v>
      </c>
      <c r="X407" s="59">
        <f t="shared" si="48"/>
        <v>0.036005283545318276</v>
      </c>
      <c r="Z407" s="59">
        <f t="shared" si="49"/>
        <v>0.023559730179897983</v>
      </c>
      <c r="AA407" s="31">
        <f t="shared" si="50"/>
        <v>0.0308595791306418</v>
      </c>
      <c r="AB407" s="59">
        <f t="shared" si="51"/>
        <v>-0.007299848950743818</v>
      </c>
      <c r="AC407" s="31">
        <f t="shared" si="52"/>
        <v>0.23655050251464657</v>
      </c>
      <c r="AM407" s="9"/>
      <c r="AN407" s="9"/>
    </row>
    <row r="408" spans="1:40" ht="12.75">
      <c r="A408" s="18" t="s">
        <v>287</v>
      </c>
      <c r="B408" s="14" t="s">
        <v>242</v>
      </c>
      <c r="C408" s="72">
        <f>'Working counts'!C446/(SUM('Working counts'!C$439:C$447)-'Working counts'!C$447)</f>
        <v>0.04274156310855032</v>
      </c>
      <c r="D408" s="72">
        <f>'Working counts'!D446/(SUM('Working counts'!D439:D447)-'Working counts'!D$447)</f>
        <v>0.10468721128379904</v>
      </c>
      <c r="E408" s="72">
        <f>'Working counts'!E446/(SUM('Working counts'!E439:E447)-'Working counts'!E$447)</f>
        <v>0.11366662631642659</v>
      </c>
      <c r="F408" s="72">
        <f>'Working counts'!F446/(SUM('Working counts'!F439:F447)-'Working counts'!F$447)</f>
        <v>0.11735702126826977</v>
      </c>
      <c r="G408" s="72">
        <f>'Working counts'!G446/(SUM('Working counts'!G439:G447)-'Working counts'!G$447)</f>
        <v>0.11651858221075762</v>
      </c>
      <c r="H408" s="72">
        <f>'Working counts'!H446/(SUM('Working counts'!H439:H447)-'Working counts'!H$447)</f>
        <v>0.11902608171264888</v>
      </c>
      <c r="I408" s="72">
        <f>'Working counts'!I446/(SUM('Working counts'!I439:I447)-'Working counts'!I$447)</f>
        <v>0.11949103955909822</v>
      </c>
      <c r="J408" s="72">
        <f>'Working counts'!J446/(SUM('Working counts'!J439:J447)-'Working counts'!J$447)</f>
        <v>0.12071086076897025</v>
      </c>
      <c r="K408" s="14" t="s">
        <v>242</v>
      </c>
      <c r="L408" s="14" t="s">
        <v>242</v>
      </c>
      <c r="M408" s="14" t="s">
        <v>242</v>
      </c>
      <c r="N408" s="14" t="s">
        <v>242</v>
      </c>
      <c r="O408" s="14" t="s">
        <v>242</v>
      </c>
      <c r="P408" s="14" t="s">
        <v>242</v>
      </c>
      <c r="Q408" s="14" t="s">
        <v>242</v>
      </c>
      <c r="R408" s="72">
        <f>'Working counts'!R446/('Working counts'!R$436-'Working counts'!R$447)</f>
        <v>0.09313068567014048</v>
      </c>
      <c r="S408" s="72">
        <f>'Working counts'!S446/('Working counts'!S$436-'Working counts'!S$447)</f>
        <v>0.09074404530995422</v>
      </c>
      <c r="T408" s="72">
        <f>'Working counts'!T446/('Working counts'!T$436-'Working counts'!T$447)</f>
        <v>0.08878675351555367</v>
      </c>
      <c r="U408" s="72">
        <f>'Working counts'!U446/('Working counts'!U$436-'Working counts'!U$447)</f>
        <v>0.0900989160319818</v>
      </c>
      <c r="V408" s="72">
        <f>'Working counts'!V446/('Working counts'!V$436-'Working counts'!V$447)</f>
        <v>0.09305708094630295</v>
      </c>
      <c r="W408" t="s">
        <v>333</v>
      </c>
      <c r="X408" s="59">
        <f>V408-C408</f>
        <v>0.050315517837752635</v>
      </c>
      <c r="Z408" s="59">
        <f t="shared" si="49"/>
        <v>0.10677487327856508</v>
      </c>
      <c r="AA408" s="31">
        <f t="shared" si="50"/>
        <v>0.09116349629478662</v>
      </c>
      <c r="AB408" s="59">
        <f t="shared" si="51"/>
        <v>0.015611376983778458</v>
      </c>
      <c r="AC408" s="31">
        <f t="shared" si="52"/>
        <v>-0.1712459220881289</v>
      </c>
      <c r="AM408" s="9"/>
      <c r="AN408" s="9"/>
    </row>
    <row r="409" spans="1:40" ht="12.75">
      <c r="A409" s="18" t="s">
        <v>86</v>
      </c>
      <c r="B409" s="14" t="s">
        <v>242</v>
      </c>
      <c r="C409" s="14">
        <v>7.5891398366170115</v>
      </c>
      <c r="D409" s="14">
        <v>6.870746337524513</v>
      </c>
      <c r="E409" s="14">
        <v>7.218221307727481</v>
      </c>
      <c r="F409" s="14">
        <v>7.1413142337426105</v>
      </c>
      <c r="G409" s="14">
        <v>7.941006082842522</v>
      </c>
      <c r="H409" s="14">
        <v>7.922056305877877</v>
      </c>
      <c r="I409" s="14">
        <v>8.24529461836754</v>
      </c>
      <c r="J409" s="14">
        <v>8.257016584654638</v>
      </c>
      <c r="K409" s="14" t="s">
        <v>242</v>
      </c>
      <c r="L409" s="14" t="s">
        <v>242</v>
      </c>
      <c r="M409" s="14" t="s">
        <v>242</v>
      </c>
      <c r="N409" s="14" t="s">
        <v>242</v>
      </c>
      <c r="O409" s="14" t="s">
        <v>242</v>
      </c>
      <c r="P409" s="14" t="s">
        <v>242</v>
      </c>
      <c r="Q409" s="14" t="s">
        <v>242</v>
      </c>
      <c r="R409" s="9">
        <v>10</v>
      </c>
      <c r="S409" s="9">
        <v>10</v>
      </c>
      <c r="T409" s="9">
        <v>10</v>
      </c>
      <c r="U409" s="9">
        <v>11</v>
      </c>
      <c r="V409" s="9">
        <v>11</v>
      </c>
      <c r="AM409" s="9"/>
      <c r="AN409" s="9"/>
    </row>
    <row r="410" spans="3:40" ht="12.75">
      <c r="C410" s="28">
        <f>SUM(C401:C408)</f>
        <v>1.00001921819789</v>
      </c>
      <c r="D410" s="28">
        <f aca="true" t="shared" si="53" ref="D410:J410">SUM(D401:D408)</f>
        <v>0.999929172064318</v>
      </c>
      <c r="E410" s="28">
        <f t="shared" si="53"/>
        <v>1.0000173433171542</v>
      </c>
      <c r="F410" s="28">
        <f t="shared" si="53"/>
        <v>0.9999832446525843</v>
      </c>
      <c r="G410" s="28">
        <f t="shared" si="53"/>
        <v>1.0000328035782189</v>
      </c>
      <c r="H410" s="28">
        <f t="shared" si="53"/>
        <v>1.0000161545740216</v>
      </c>
      <c r="I410" s="28">
        <f t="shared" si="53"/>
        <v>1.0000157759955977</v>
      </c>
      <c r="J410" s="28">
        <f t="shared" si="53"/>
        <v>1.0000304097915393</v>
      </c>
      <c r="R410" s="28">
        <f>SUM(R401:R408)</f>
        <v>0.999984706883009</v>
      </c>
      <c r="S410" s="28">
        <f>SUM(S401:S408)</f>
        <v>0.9999849030611054</v>
      </c>
      <c r="T410" s="28">
        <f>SUM(T401:T408)</f>
        <v>1.0000147778619997</v>
      </c>
      <c r="U410" s="28">
        <f>SUM(U401:U408)</f>
        <v>0.9999847080732992</v>
      </c>
      <c r="V410" s="28">
        <f>SUM(V401:V408)</f>
        <v>1.0000143072622585</v>
      </c>
      <c r="AM410" s="9"/>
      <c r="AN410" s="9"/>
    </row>
    <row r="411" spans="1:40" ht="12.75">
      <c r="A411" s="17" t="s">
        <v>115</v>
      </c>
      <c r="AM411" s="9"/>
      <c r="AN411" s="9"/>
    </row>
    <row r="412" spans="39:40" ht="12.75">
      <c r="AM412" s="9"/>
      <c r="AN412" s="9"/>
    </row>
    <row r="413" spans="1:40" ht="12.75">
      <c r="A413" s="18" t="s">
        <v>116</v>
      </c>
      <c r="R413" s="10"/>
      <c r="S413" s="10"/>
      <c r="T413" s="10"/>
      <c r="U413" s="10"/>
      <c r="V413" s="10"/>
      <c r="AM413" s="9"/>
      <c r="AN413" s="9"/>
    </row>
    <row r="414" spans="1:40" ht="12.75">
      <c r="A414" s="18" t="s">
        <v>117</v>
      </c>
      <c r="B414" s="31">
        <f>'Working counts'!B453/'Working counts'!B$28</f>
        <v>0.20059996827090876</v>
      </c>
      <c r="C414" s="31">
        <f>'Working counts'!C453/'Working counts'!C$28</f>
        <v>0.19495976281236765</v>
      </c>
      <c r="D414" s="31">
        <f>'Working counts'!D453/'Working counts'!D$28</f>
        <v>0.19804751596045392</v>
      </c>
      <c r="E414" s="31">
        <f>'Working counts'!E453/'Working counts'!E$28</f>
        <v>0.20049996621849875</v>
      </c>
      <c r="F414" s="31">
        <f>'Working counts'!F453/'Working counts'!F$28</f>
        <v>0.20982996811902233</v>
      </c>
      <c r="G414" s="31">
        <f>'Working counts'!G453/'Working counts'!G$28</f>
        <v>0.2223489315380927</v>
      </c>
      <c r="H414" s="31">
        <f>'Working counts'!H453/'Working counts'!H$28</f>
        <v>0.22571654024334367</v>
      </c>
      <c r="I414" s="31">
        <f>'Working counts'!I453/'Working counts'!I$28</f>
        <v>0.2215256269357578</v>
      </c>
      <c r="J414" s="31">
        <f>'Working counts'!J453/'Working counts'!J$28</f>
        <v>0.22439434926360083</v>
      </c>
      <c r="K414" s="31">
        <f>'Working counts'!K453/'Working counts'!K$28</f>
        <v>0.2243200453696921</v>
      </c>
      <c r="L414" s="31">
        <f>'Working counts'!L453/'Working counts'!L$28</f>
        <v>0.2373423805484874</v>
      </c>
      <c r="M414" s="31">
        <f>'Working counts'!M453/'Working counts'!M$28</f>
        <v>0.24150602939882052</v>
      </c>
      <c r="N414" s="31">
        <f>'Working counts'!N453/'Working counts'!N$28</f>
        <v>0.23863454415422222</v>
      </c>
      <c r="O414" s="31">
        <f>'Working counts'!O453/'Working counts'!O$28</f>
        <v>0.2404049513135152</v>
      </c>
      <c r="P414" s="31">
        <f>'Working counts'!P453/'Working counts'!P$28</f>
        <v>0.24269456526329125</v>
      </c>
      <c r="Q414" s="31">
        <f>'Working counts'!Q453/'Working counts'!Q$28</f>
        <v>0.2463840807427349</v>
      </c>
      <c r="R414" s="31">
        <f>'Working counts'!R453/'Working counts'!R$28</f>
        <v>0.2539326746208047</v>
      </c>
      <c r="S414" s="31">
        <f>'Working counts'!S453/'Working counts'!S$28</f>
        <v>0.26167524294038114</v>
      </c>
      <c r="T414" s="31">
        <f>'Working counts'!T453/'Working counts'!T$28</f>
        <v>0.2649043393154591</v>
      </c>
      <c r="U414" s="31">
        <f>'Working counts'!U453/'Working counts'!U$28</f>
        <v>0.26616088131365623</v>
      </c>
      <c r="V414" s="31">
        <f>'Working counts'!V453/'Working counts'!V$28</f>
        <v>0.26803280947176017</v>
      </c>
      <c r="W414" t="s">
        <v>333</v>
      </c>
      <c r="X414" s="59">
        <f aca="true" t="shared" si="54" ref="X414:X420">V414-B414</f>
        <v>0.06743284120085141</v>
      </c>
      <c r="AM414" s="9"/>
      <c r="AN414" s="9"/>
    </row>
    <row r="415" spans="1:40" ht="12.75">
      <c r="A415" s="18" t="s">
        <v>118</v>
      </c>
      <c r="B415" s="31">
        <f>'Working counts'!B454/'Working counts'!B$28</f>
        <v>0.3033733792924413</v>
      </c>
      <c r="C415" s="31">
        <f>'Working counts'!C454/'Working counts'!C$28</f>
        <v>0.30607087392347876</v>
      </c>
      <c r="D415" s="31">
        <f>'Working counts'!D454/'Working counts'!D$28</f>
        <v>0.310246404588889</v>
      </c>
      <c r="E415" s="31">
        <f>'Working counts'!E454/'Working counts'!E$28</f>
        <v>0.3111546517127221</v>
      </c>
      <c r="F415" s="31">
        <f>'Working counts'!F454/'Working counts'!F$28</f>
        <v>0.3087539851222104</v>
      </c>
      <c r="G415" s="31">
        <f>'Working counts'!G454/'Working counts'!G$28</f>
        <v>0.30879780216932107</v>
      </c>
      <c r="H415" s="31">
        <f>'Working counts'!H454/'Working counts'!H$28</f>
        <v>0.3099959273023469</v>
      </c>
      <c r="I415" s="31">
        <f>'Working counts'!I454/'Working counts'!I$28</f>
        <v>0.3126935757817964</v>
      </c>
      <c r="J415" s="31">
        <f>'Working counts'!J454/'Working counts'!J$28</f>
        <v>0.3139404869251578</v>
      </c>
      <c r="K415" s="31">
        <f>'Working counts'!K454/'Working counts'!K$28</f>
        <v>0.31515394976251804</v>
      </c>
      <c r="L415" s="31">
        <f>'Working counts'!L454/'Working counts'!L$28</f>
        <v>0.3193440769013288</v>
      </c>
      <c r="M415" s="31">
        <f>'Working counts'!M454/'Working counts'!M$28</f>
        <v>0.32027330340639026</v>
      </c>
      <c r="N415" s="31">
        <f>'Working counts'!N454/'Working counts'!N$28</f>
        <v>0.32138168077452683</v>
      </c>
      <c r="O415" s="31">
        <f>'Working counts'!O454/'Working counts'!O$28</f>
        <v>0.328394902680709</v>
      </c>
      <c r="P415" s="31">
        <f>'Working counts'!P454/'Working counts'!P$28</f>
        <v>0.33047590895654744</v>
      </c>
      <c r="Q415" s="31">
        <f>'Working counts'!Q454/'Working counts'!Q$28</f>
        <v>0.3268504396425537</v>
      </c>
      <c r="R415" s="31">
        <f>'Working counts'!R454/'Working counts'!R$28</f>
        <v>0.3264044548533979</v>
      </c>
      <c r="S415" s="31">
        <f>'Working counts'!S454/'Working counts'!S$28</f>
        <v>0.3289495442739998</v>
      </c>
      <c r="T415" s="31">
        <f>'Working counts'!T454/'Working counts'!T$28</f>
        <v>0.326112120156972</v>
      </c>
      <c r="U415" s="31">
        <f>'Working counts'!U454/'Working counts'!U$28</f>
        <v>0.32523950794580603</v>
      </c>
      <c r="V415" s="31">
        <f>'Working counts'!V454/'Working counts'!V$28</f>
        <v>0.32670775504955407</v>
      </c>
      <c r="W415" t="s">
        <v>333</v>
      </c>
      <c r="X415" s="59">
        <f t="shared" si="54"/>
        <v>0.02333437575711278</v>
      </c>
      <c r="AM415" s="9"/>
      <c r="AN415" s="9"/>
    </row>
    <row r="416" spans="1:40" ht="12.75">
      <c r="A416" s="18" t="s">
        <v>119</v>
      </c>
      <c r="B416" s="31">
        <f>'Working counts'!B455/'Working counts'!B$28</f>
        <v>0.17162553903399339</v>
      </c>
      <c r="C416" s="31">
        <f>'Working counts'!C455/'Working counts'!C$28</f>
        <v>0.17270930396724551</v>
      </c>
      <c r="D416" s="31">
        <f>'Working counts'!D455/'Working counts'!D$28</f>
        <v>0.1735035781751996</v>
      </c>
      <c r="E416" s="31">
        <f>'Working counts'!E455/'Working counts'!E$28</f>
        <v>0.17178569015607054</v>
      </c>
      <c r="F416" s="31">
        <f>'Working counts'!F455/'Working counts'!F$28</f>
        <v>0.17207757704569607</v>
      </c>
      <c r="G416" s="31">
        <f>'Working counts'!G455/'Working counts'!G$28</f>
        <v>0.1721202068241606</v>
      </c>
      <c r="H416" s="31">
        <f>'Working counts'!H455/'Working counts'!H$28</f>
        <v>0.17345873848190194</v>
      </c>
      <c r="I416" s="31">
        <f>'Working counts'!I455/'Working counts'!I$28</f>
        <v>0.17254470976121491</v>
      </c>
      <c r="J416" s="31">
        <f>'Working counts'!J455/'Working counts'!J$28</f>
        <v>0.17386233844304178</v>
      </c>
      <c r="K416" s="31">
        <f>'Working counts'!K455/'Working counts'!K$28</f>
        <v>0.17760344053498428</v>
      </c>
      <c r="L416" s="31">
        <f>'Working counts'!L455/'Working counts'!L$28</f>
        <v>0.17466779756856093</v>
      </c>
      <c r="M416" s="31">
        <f>'Working counts'!M455/'Working counts'!M$28</f>
        <v>0.17663497931520114</v>
      </c>
      <c r="N416" s="31">
        <f>'Working counts'!N455/'Working counts'!N$28</f>
        <v>0.17323313728211095</v>
      </c>
      <c r="O416" s="31">
        <f>'Working counts'!O455/'Working counts'!O$28</f>
        <v>0.17488485941576218</v>
      </c>
      <c r="P416" s="31">
        <f>'Working counts'!P455/'Working counts'!P$28</f>
        <v>0.1721422237236603</v>
      </c>
      <c r="Q416" s="31">
        <f>'Working counts'!Q455/'Working counts'!Q$28</f>
        <v>0.17015548708709938</v>
      </c>
      <c r="R416" s="31">
        <f>'Working counts'!R455/'Working counts'!R$28</f>
        <v>0.16592117563098696</v>
      </c>
      <c r="S416" s="31">
        <f>'Working counts'!S455/'Working counts'!S$28</f>
        <v>0.16189216268007742</v>
      </c>
      <c r="T416" s="31">
        <f>'Working counts'!T455/'Working counts'!T$28</f>
        <v>0.16165855770226142</v>
      </c>
      <c r="U416" s="31">
        <f>'Working counts'!U455/'Working counts'!U$28</f>
        <v>0.1636968311256401</v>
      </c>
      <c r="V416" s="31">
        <f>'Working counts'!V455/'Working counts'!V$28</f>
        <v>0.1590322491756299</v>
      </c>
      <c r="W416" t="s">
        <v>333</v>
      </c>
      <c r="X416" s="59">
        <f t="shared" si="54"/>
        <v>-0.012593289858363499</v>
      </c>
      <c r="AM416" s="9"/>
      <c r="AN416" s="9"/>
    </row>
    <row r="417" spans="1:40" ht="12.75">
      <c r="A417" s="18" t="s">
        <v>120</v>
      </c>
      <c r="B417" s="31">
        <f>'Working counts'!B456/'Working counts'!B$28</f>
        <v>0.15046800409593725</v>
      </c>
      <c r="C417" s="31">
        <f>'Working counts'!C456/'Working counts'!C$28</f>
        <v>0.15521671608075674</v>
      </c>
      <c r="D417" s="31">
        <f>'Working counts'!D456/'Working counts'!D$28</f>
        <v>0.15527487831446576</v>
      </c>
      <c r="E417" s="31">
        <f>'Working counts'!E456/'Working counts'!E$28</f>
        <v>0.15717856901560706</v>
      </c>
      <c r="F417" s="31">
        <f>'Working counts'!F456/'Working counts'!F$28</f>
        <v>0.15856801275239107</v>
      </c>
      <c r="G417" s="31">
        <f>'Working counts'!G456/'Working counts'!G$28</f>
        <v>0.15701012090660516</v>
      </c>
      <c r="H417" s="31">
        <f>'Working counts'!H456/'Working counts'!H$28</f>
        <v>0.1560606831950313</v>
      </c>
      <c r="I417" s="31">
        <f>'Working counts'!I456/'Working counts'!I$28</f>
        <v>0.1603681686482166</v>
      </c>
      <c r="J417" s="31">
        <f>'Working counts'!J456/'Working counts'!J$28</f>
        <v>0.16132251277427112</v>
      </c>
      <c r="K417" s="31">
        <f>'Working counts'!K456/'Working counts'!K$28</f>
        <v>0.16274014036248494</v>
      </c>
      <c r="L417" s="31">
        <f>'Working counts'!L456/'Working counts'!L$28</f>
        <v>0.1578286683630195</v>
      </c>
      <c r="M417" s="31">
        <f>'Working counts'!M456/'Working counts'!M$28</f>
        <v>0.15598318809963913</v>
      </c>
      <c r="N417" s="31">
        <f>'Working counts'!N456/'Working counts'!N$28</f>
        <v>0.15590875612437688</v>
      </c>
      <c r="O417" s="31">
        <f>'Working counts'!O456/'Working counts'!O$28</f>
        <v>0.1518030639741484</v>
      </c>
      <c r="P417" s="31">
        <f>'Working counts'!P456/'Working counts'!P$28</f>
        <v>0.15197837929141506</v>
      </c>
      <c r="Q417" s="31">
        <f>'Working counts'!Q456/'Working counts'!Q$28</f>
        <v>0.15259025723439756</v>
      </c>
      <c r="R417" s="31">
        <f>'Working counts'!R456/'Working counts'!R$28</f>
        <v>0.14965774422788908</v>
      </c>
      <c r="S417" s="31">
        <f>'Working counts'!S456/'Working counts'!S$28</f>
        <v>0.14795288075250723</v>
      </c>
      <c r="T417" s="31">
        <f>'Working counts'!T456/'Working counts'!T$28</f>
        <v>0.1469871354495064</v>
      </c>
      <c r="U417" s="31">
        <f>'Working counts'!U456/'Working counts'!U$28</f>
        <v>0.1447346044103475</v>
      </c>
      <c r="V417" s="31">
        <f>'Working counts'!V456/'Working counts'!V$28</f>
        <v>0.1453830680346465</v>
      </c>
      <c r="W417" t="s">
        <v>333</v>
      </c>
      <c r="X417" s="59">
        <f t="shared" si="54"/>
        <v>-0.005084936061290735</v>
      </c>
      <c r="AM417" s="9"/>
      <c r="AN417" s="9"/>
    </row>
    <row r="418" spans="1:40" ht="12.75">
      <c r="A418" s="18" t="s">
        <v>121</v>
      </c>
      <c r="B418" s="31">
        <f>'Working counts'!B457/'Working counts'!B$28</f>
        <v>0.09075962328915298</v>
      </c>
      <c r="C418" s="31">
        <f>'Working counts'!C457/'Working counts'!C$28</f>
        <v>0.08989128900183538</v>
      </c>
      <c r="D418" s="31">
        <f>'Working counts'!D457/'Working counts'!D$28</f>
        <v>0.08695172565944596</v>
      </c>
      <c r="E418" s="31">
        <f>'Working counts'!E457/'Working counts'!E$28</f>
        <v>0.08807513005877982</v>
      </c>
      <c r="F418" s="31">
        <f>'Working counts'!F457/'Working counts'!F$28</f>
        <v>0.08524176408076514</v>
      </c>
      <c r="G418" s="31">
        <f>'Working counts'!G457/'Working counts'!G$28</f>
        <v>0.07990462244223567</v>
      </c>
      <c r="H418" s="31">
        <f>'Working counts'!H457/'Working counts'!H$28</f>
        <v>0.07921396935295016</v>
      </c>
      <c r="I418" s="31">
        <f>'Working counts'!I457/'Working counts'!I$28</f>
        <v>0.07729293635727845</v>
      </c>
      <c r="J418" s="31">
        <f>'Working counts'!J457/'Working counts'!J$28</f>
        <v>0.07710249474000601</v>
      </c>
      <c r="K418" s="31">
        <f>'Working counts'!K457/'Working counts'!K$28</f>
        <v>0.07344218908764384</v>
      </c>
      <c r="L418" s="31">
        <f>'Working counts'!L457/'Working counts'!L$28</f>
        <v>0.07114503816793893</v>
      </c>
      <c r="M418" s="31">
        <f>'Working counts'!M457/'Working counts'!M$28</f>
        <v>0.06887597922718071</v>
      </c>
      <c r="N418" s="31">
        <f>'Working counts'!N457/'Working counts'!N$28</f>
        <v>0.07063181153464343</v>
      </c>
      <c r="O418" s="31">
        <f>'Working counts'!O457/'Working counts'!O$28</f>
        <v>0.06703382824997048</v>
      </c>
      <c r="P418" s="31">
        <f>'Working counts'!P457/'Working counts'!P$28</f>
        <v>0.06621342004138339</v>
      </c>
      <c r="Q418" s="31">
        <f>'Working counts'!Q457/'Working counts'!Q$28</f>
        <v>0.06668850378225666</v>
      </c>
      <c r="R418" s="31">
        <f>'Working counts'!R457/'Working counts'!R$28</f>
        <v>0.06520449908028185</v>
      </c>
      <c r="S418" s="31">
        <f>'Working counts'!S457/'Working counts'!S$28</f>
        <v>0.06470628289057713</v>
      </c>
      <c r="T418" s="31">
        <f>'Working counts'!T457/'Working counts'!T$28</f>
        <v>0.06442627116251494</v>
      </c>
      <c r="U418" s="31">
        <f>'Working counts'!U457/'Working counts'!U$28</f>
        <v>0.06468131743542262</v>
      </c>
      <c r="V418" s="31">
        <f>'Working counts'!V457/'Working counts'!V$28</f>
        <v>0.06432383279293843</v>
      </c>
      <c r="W418" t="s">
        <v>333</v>
      </c>
      <c r="X418" s="59">
        <f t="shared" si="54"/>
        <v>-0.026435790496214542</v>
      </c>
      <c r="AM418" s="9"/>
      <c r="AN418" s="9"/>
    </row>
    <row r="419" spans="1:40" ht="12.75">
      <c r="A419" s="18" t="s">
        <v>122</v>
      </c>
      <c r="B419" s="31">
        <f>'Working counts'!B458/'Working counts'!B$28</f>
        <v>0.04462264014883828</v>
      </c>
      <c r="C419" s="31">
        <f>'Working counts'!C458/'Working counts'!C$28</f>
        <v>0.04421855146124524</v>
      </c>
      <c r="D419" s="31">
        <f>'Working counts'!D458/'Working counts'!D$28</f>
        <v>0.042152144836810394</v>
      </c>
      <c r="E419" s="31">
        <f>'Working counts'!E458/'Working counts'!E$28</f>
        <v>0.04092966691439768</v>
      </c>
      <c r="F419" s="31">
        <f>'Working counts'!F458/'Working counts'!F$28</f>
        <v>0.038164187035069075</v>
      </c>
      <c r="G419" s="31">
        <f>'Working counts'!G458/'Working counts'!G$28</f>
        <v>0.03505384425985201</v>
      </c>
      <c r="H419" s="31">
        <f>'Working counts'!H458/'Working counts'!H$28</f>
        <v>0.033230667413327905</v>
      </c>
      <c r="I419" s="31">
        <f>'Working counts'!I458/'Working counts'!I$28</f>
        <v>0.033657208512338894</v>
      </c>
      <c r="J419" s="31">
        <f>'Working counts'!J458/'Working counts'!J$28</f>
        <v>0.029552149083258192</v>
      </c>
      <c r="K419" s="31">
        <f>'Working counts'!K458/'Working counts'!K$28</f>
        <v>0.02872232330631631</v>
      </c>
      <c r="L419" s="31">
        <f>'Working counts'!L458/'Working counts'!L$28</f>
        <v>0.0247102063895957</v>
      </c>
      <c r="M419" s="31">
        <f>'Working counts'!M458/'Working counts'!M$28</f>
        <v>0.022533227708828447</v>
      </c>
      <c r="N419" s="31">
        <f>'Working counts'!N458/'Working counts'!N$28</f>
        <v>0.024967176542168804</v>
      </c>
      <c r="O419" s="31">
        <f>'Working counts'!O458/'Working counts'!O$28</f>
        <v>0.022620159532781518</v>
      </c>
      <c r="P419" s="31">
        <f>'Working counts'!P458/'Working counts'!P$28</f>
        <v>0.02297200287150036</v>
      </c>
      <c r="Q419" s="31">
        <f>'Working counts'!Q458/'Working counts'!Q$28</f>
        <v>0.024259670600759523</v>
      </c>
      <c r="R419" s="31">
        <f>'Working counts'!R458/'Working counts'!R$28</f>
        <v>0.02386241418476786</v>
      </c>
      <c r="S419" s="31">
        <f>'Working counts'!S458/'Working counts'!S$28</f>
        <v>0.022178341098995167</v>
      </c>
      <c r="T419" s="31">
        <f>'Working counts'!T458/'Working counts'!T$28</f>
        <v>0.022275340905882686</v>
      </c>
      <c r="U419" s="31">
        <f>'Working counts'!U458/'Working counts'!U$28</f>
        <v>0.022807581111468037</v>
      </c>
      <c r="V419" s="31">
        <f>'Working counts'!V458/'Working counts'!V$28</f>
        <v>0.02344058564723388</v>
      </c>
      <c r="W419" t="s">
        <v>333</v>
      </c>
      <c r="X419" s="59">
        <f t="shared" si="54"/>
        <v>-0.0211820545016044</v>
      </c>
      <c r="AM419" s="9"/>
      <c r="AN419" s="9"/>
    </row>
    <row r="420" spans="1:40" ht="12.75">
      <c r="A420" s="18" t="s">
        <v>123</v>
      </c>
      <c r="B420" s="31">
        <f>'Working counts'!B459/'Working counts'!B$28</f>
        <v>0.0385508458687281</v>
      </c>
      <c r="C420" s="31">
        <f>'Working counts'!C459/'Working counts'!C$28</f>
        <v>0.03693350275307073</v>
      </c>
      <c r="D420" s="31">
        <f>'Working counts'!D459/'Working counts'!D$28</f>
        <v>0.033851329922921</v>
      </c>
      <c r="E420" s="31">
        <f>'Working counts'!E459/'Working counts'!E$28</f>
        <v>0.030376325923924058</v>
      </c>
      <c r="F420" s="31">
        <f>'Working counts'!F459/'Working counts'!F$28</f>
        <v>0.027351222104144528</v>
      </c>
      <c r="G420" s="31">
        <f>'Working counts'!G459/'Working counts'!G$28</f>
        <v>0.024777430767037725</v>
      </c>
      <c r="H420" s="31">
        <f>'Working counts'!H459/'Working counts'!H$28</f>
        <v>0.0223234740110981</v>
      </c>
      <c r="I420" s="31">
        <f>'Working counts'!I459/'Working counts'!I$28</f>
        <v>0.021917774003396943</v>
      </c>
      <c r="J420" s="31">
        <f>'Working counts'!J459/'Working counts'!J$28</f>
        <v>0.019849714457469192</v>
      </c>
      <c r="K420" s="31">
        <f>'Working counts'!K459/'Working counts'!K$28</f>
        <v>0.018006096552376002</v>
      </c>
      <c r="L420" s="31">
        <f>'Working counts'!L459/'Working counts'!L$28</f>
        <v>0.014973141080011309</v>
      </c>
      <c r="M420" s="31">
        <f>'Working counts'!M459/'Working counts'!M$28</f>
        <v>0.014182290291347592</v>
      </c>
      <c r="N420" s="31">
        <f>'Working counts'!N459/'Working counts'!N$28</f>
        <v>0.015253567883180512</v>
      </c>
      <c r="O420" s="31">
        <f>'Working counts'!O459/'Working counts'!O$28</f>
        <v>0.014858234833113252</v>
      </c>
      <c r="P420" s="31">
        <f>'Working counts'!P459/'Working counts'!P$28</f>
        <v>0.013512942865588446</v>
      </c>
      <c r="Q420" s="31">
        <f>'Working counts'!Q459/'Working counts'!Q$28</f>
        <v>0.013081797058131084</v>
      </c>
      <c r="R420" s="31">
        <f>'Working counts'!R459/'Working counts'!R$28</f>
        <v>0.0150170374018716</v>
      </c>
      <c r="S420" s="31">
        <f>'Working counts'!S459/'Working counts'!S$28</f>
        <v>0.012645545363462156</v>
      </c>
      <c r="T420" s="31">
        <f>'Working counts'!T459/'Working counts'!T$28</f>
        <v>0.013636235307403469</v>
      </c>
      <c r="U420" s="31">
        <f>'Working counts'!U459/'Working counts'!U$28</f>
        <v>0.012688724702858978</v>
      </c>
      <c r="V420" s="31">
        <f>'Working counts'!V459/'Working counts'!V$28</f>
        <v>0.013088885010700737</v>
      </c>
      <c r="W420" t="s">
        <v>333</v>
      </c>
      <c r="X420" s="59">
        <f t="shared" si="54"/>
        <v>-0.02546196085802736</v>
      </c>
      <c r="AM420" s="9"/>
      <c r="AN420" s="9"/>
    </row>
    <row r="421" spans="1:40" ht="12.75">
      <c r="A421" s="18" t="s">
        <v>86</v>
      </c>
      <c r="B421" s="30">
        <v>2.486902781079154</v>
      </c>
      <c r="C421" s="30">
        <v>2.4966326860095025</v>
      </c>
      <c r="D421" s="30">
        <v>2.4733111111111112</v>
      </c>
      <c r="E421" s="30">
        <v>2.462543970122031</v>
      </c>
      <c r="F421" s="30">
        <v>2.439788323366175</v>
      </c>
      <c r="G421" s="30">
        <v>2.3991564899911872</v>
      </c>
      <c r="H421" s="30">
        <v>2.384796978281398</v>
      </c>
      <c r="I421" s="30">
        <v>2.39056633916447</v>
      </c>
      <c r="J421" s="30">
        <v>2.3779296875</v>
      </c>
      <c r="K421" s="30">
        <v>2.37472819974507</v>
      </c>
      <c r="L421" s="30">
        <v>2.322508676251859</v>
      </c>
      <c r="M421" s="30">
        <v>2.3070871551753753</v>
      </c>
      <c r="N421" s="30">
        <v>2.3132722200079714</v>
      </c>
      <c r="O421" s="30">
        <v>2.2904965837392526</v>
      </c>
      <c r="P421" s="30">
        <v>2.2785746230513673</v>
      </c>
      <c r="Q421" s="30">
        <v>2.2759544016786197</v>
      </c>
      <c r="R421" s="32">
        <v>2.253872447879777</v>
      </c>
      <c r="S421" s="32">
        <v>2.2245024691723096</v>
      </c>
      <c r="T421" s="32">
        <v>2.2209043950018756</v>
      </c>
      <c r="U421" s="32">
        <v>2.218989658377876</v>
      </c>
      <c r="V421" s="32">
        <v>2.2100283955129467</v>
      </c>
      <c r="AM421" s="9"/>
      <c r="AN421" s="9"/>
    </row>
    <row r="422" spans="2:40" ht="12.75">
      <c r="B422" s="31">
        <f>SUM(B414:B420)</f>
        <v>1</v>
      </c>
      <c r="C422" s="31">
        <f aca="true" t="shared" si="55" ref="C422:V422">SUM(C414:C420)</f>
        <v>0.9999999999999999</v>
      </c>
      <c r="D422" s="31">
        <f t="shared" si="55"/>
        <v>1.0000275774581857</v>
      </c>
      <c r="E422" s="31">
        <f t="shared" si="55"/>
        <v>1.0000000000000002</v>
      </c>
      <c r="F422" s="31">
        <f t="shared" si="55"/>
        <v>0.9999867162592986</v>
      </c>
      <c r="G422" s="31">
        <f t="shared" si="55"/>
        <v>1.000012958907305</v>
      </c>
      <c r="H422" s="31">
        <f t="shared" si="55"/>
        <v>1</v>
      </c>
      <c r="I422" s="31">
        <f t="shared" si="55"/>
        <v>0.9999999999999999</v>
      </c>
      <c r="J422" s="31">
        <f t="shared" si="55"/>
        <v>1.0000240456868048</v>
      </c>
      <c r="K422" s="31">
        <f t="shared" si="55"/>
        <v>0.9999881849760156</v>
      </c>
      <c r="L422" s="31">
        <f t="shared" si="55"/>
        <v>1.0000113090189426</v>
      </c>
      <c r="M422" s="31">
        <f t="shared" si="55"/>
        <v>0.9999889974474078</v>
      </c>
      <c r="N422" s="31">
        <f t="shared" si="55"/>
        <v>1.0000106742952295</v>
      </c>
      <c r="O422" s="31">
        <f t="shared" si="55"/>
        <v>1</v>
      </c>
      <c r="P422" s="31">
        <f t="shared" si="55"/>
        <v>0.9999894430133863</v>
      </c>
      <c r="Q422" s="31">
        <f t="shared" si="55"/>
        <v>1.0000102361479328</v>
      </c>
      <c r="R422" s="31">
        <f t="shared" si="55"/>
        <v>0.9999999999999999</v>
      </c>
      <c r="S422" s="31">
        <f t="shared" si="55"/>
        <v>1</v>
      </c>
      <c r="T422" s="31">
        <f t="shared" si="55"/>
        <v>1</v>
      </c>
      <c r="U422" s="31">
        <f t="shared" si="55"/>
        <v>1.0000094480451995</v>
      </c>
      <c r="V422" s="31">
        <f t="shared" si="55"/>
        <v>1.0000091851824635</v>
      </c>
      <c r="AM422" s="9"/>
      <c r="AN422" s="9"/>
    </row>
    <row r="423" spans="1:40" ht="12.75">
      <c r="A423" s="18" t="s">
        <v>124</v>
      </c>
      <c r="R423" s="10"/>
      <c r="S423" s="10"/>
      <c r="T423" s="10"/>
      <c r="U423" s="10"/>
      <c r="V423" s="10"/>
      <c r="AM423" s="9"/>
      <c r="AN423" s="9"/>
    </row>
    <row r="424" spans="1:40" ht="12.75">
      <c r="A424" s="18" t="s">
        <v>126</v>
      </c>
      <c r="B424" s="31">
        <f>'Working counts'!B463/'Working counts'!B$28</f>
        <v>0.20059996827090876</v>
      </c>
      <c r="C424" s="31">
        <f>'Working counts'!C463/'Working counts'!C$28</f>
        <v>0.19495976281236765</v>
      </c>
      <c r="D424" s="31">
        <f>'Working counts'!D463/'Working counts'!D$28</f>
        <v>0.19804751596045392</v>
      </c>
      <c r="E424" s="31">
        <f>'Working counts'!E463/'Working counts'!E$28</f>
        <v>0.20049996621849875</v>
      </c>
      <c r="F424" s="31">
        <f>'Working counts'!F463/'Working counts'!F$28</f>
        <v>0.20982996811902233</v>
      </c>
      <c r="G424" s="31">
        <f>'Working counts'!G463/'Working counts'!G$28</f>
        <v>0.2223489315380927</v>
      </c>
      <c r="H424" s="31">
        <f>'Working counts'!H463/'Working counts'!H$28</f>
        <v>0.22571654024334367</v>
      </c>
      <c r="I424" s="31">
        <f>'Working counts'!I463/'Working counts'!I$28</f>
        <v>0.2215256269357578</v>
      </c>
      <c r="J424" s="31">
        <f>'Working counts'!J463/'Working counts'!J$28</f>
        <v>0.22439434926360083</v>
      </c>
      <c r="K424" s="31">
        <f>'Working counts'!K463/'Working counts'!K$28</f>
        <v>0.2243200453696921</v>
      </c>
      <c r="L424" s="31">
        <f>'Working counts'!L463/'Working counts'!L$28</f>
        <v>0.2373423805484874</v>
      </c>
      <c r="M424" s="31">
        <f>'Working counts'!M463/'Working counts'!M$28</f>
        <v>0.24150602939882052</v>
      </c>
      <c r="N424" s="31">
        <f>'Working counts'!N463/'Working counts'!N$28</f>
        <v>0.23863454415422222</v>
      </c>
      <c r="O424" s="31">
        <f>'Working counts'!O463/'Working counts'!O$28</f>
        <v>0.2404049513135152</v>
      </c>
      <c r="P424" s="31">
        <f>'Working counts'!P463/'Working counts'!P$28</f>
        <v>0.24269456526329125</v>
      </c>
      <c r="Q424" s="31">
        <f>'Working counts'!Q463/'Working counts'!Q$28</f>
        <v>0.2463840807427349</v>
      </c>
      <c r="R424" s="31">
        <f>'Working counts'!R463/'Working counts'!R$28</f>
        <v>0.2539326746208047</v>
      </c>
      <c r="S424" s="31">
        <f>'Working counts'!S463/'Working counts'!S$28</f>
        <v>0.26167524294038114</v>
      </c>
      <c r="T424" s="31">
        <f>'Working counts'!T463/'Working counts'!T$28</f>
        <v>0.2649043393154591</v>
      </c>
      <c r="U424" s="31">
        <f>'Working counts'!U463/'Working counts'!U$28</f>
        <v>0.26616088131365623</v>
      </c>
      <c r="V424" s="31">
        <f>'Working counts'!V463/'Working counts'!V$28</f>
        <v>0.26803280947176017</v>
      </c>
      <c r="W424" t="s">
        <v>333</v>
      </c>
      <c r="X424" s="59">
        <f>V424-B424</f>
        <v>0.06743284120085141</v>
      </c>
      <c r="AM424" s="9"/>
      <c r="AN424" s="9"/>
    </row>
    <row r="425" spans="1:40" ht="25.5">
      <c r="A425" s="29" t="s">
        <v>125</v>
      </c>
      <c r="B425" s="31">
        <f>'Working counts'!B464/'Working counts'!B$28</f>
        <v>0.6565037425905361</v>
      </c>
      <c r="C425" s="31">
        <f>'Working counts'!C464/'Working counts'!C$28</f>
        <v>0.6583368629111959</v>
      </c>
      <c r="D425" s="31">
        <f>'Working counts'!D464/'Working counts'!D$28</f>
        <v>0.6472980985342581</v>
      </c>
      <c r="E425" s="31">
        <f>'Working counts'!E464/'Working counts'!E$28</f>
        <v>0.6404837510978988</v>
      </c>
      <c r="F425" s="31">
        <f>'Working counts'!F464/'Working counts'!F$28</f>
        <v>0.6246280552603614</v>
      </c>
      <c r="G425" s="31">
        <f>'Working counts'!G464/'Working counts'!G$28</f>
        <v>0.6046237381264011</v>
      </c>
      <c r="H425" s="31">
        <f>'Working counts'!H464/'Working counts'!H$28</f>
        <v>0.5997174566003156</v>
      </c>
      <c r="I425" s="31">
        <f>'Working counts'!I464/'Working counts'!I$28</f>
        <v>0.5910555500049955</v>
      </c>
      <c r="J425" s="31">
        <f>'Working counts'!J464/'Working counts'!J$28</f>
        <v>0.6006492335437331</v>
      </c>
      <c r="K425" s="31">
        <f>'Working counts'!K464/'Working counts'!K$28</f>
        <v>0.5969068267208583</v>
      </c>
      <c r="L425" s="31">
        <f>'Working counts'!L464/'Working counts'!L$28</f>
        <v>0.5651342945999435</v>
      </c>
      <c r="M425" s="31">
        <f>'Working counts'!M464/'Working counts'!M$28</f>
        <v>0.5555298829328404</v>
      </c>
      <c r="N425" s="31">
        <f>'Working counts'!N464/'Working counts'!N$28</f>
        <v>0.5360310835477088</v>
      </c>
      <c r="O425" s="31">
        <f>'Working counts'!O464/'Working counts'!O$28</f>
        <v>0.5340483322060828</v>
      </c>
      <c r="P425" s="31">
        <f>'Working counts'!P464/'Working counts'!P$28</f>
        <v>0.5245027659304928</v>
      </c>
      <c r="Q425" s="31">
        <f>'Working counts'!Q464/'Working counts'!Q$28</f>
        <v>0.5195561606256334</v>
      </c>
      <c r="R425" s="31">
        <f>'Working counts'!R464/'Working counts'!R$28</f>
        <v>0.5252746590006735</v>
      </c>
      <c r="S425" s="31">
        <f>'Working counts'!S464/'Working counts'!S$28</f>
        <v>0.5171930780230148</v>
      </c>
      <c r="T425" s="31">
        <f>'Working counts'!T464/'Working counts'!T$28</f>
        <v>0.5054535530439201</v>
      </c>
      <c r="U425" s="31">
        <f>'Working counts'!U464/'Working counts'!U$28</f>
        <v>0.5058672360688573</v>
      </c>
      <c r="V425" s="31">
        <f>'Working counts'!V464/'Working counts'!V$28</f>
        <v>0.5021355549227985</v>
      </c>
      <c r="W425" t="s">
        <v>333</v>
      </c>
      <c r="X425" s="59">
        <f>V425-B425</f>
        <v>-0.15436818766773763</v>
      </c>
      <c r="AM425" s="9"/>
      <c r="AN425" s="9"/>
    </row>
    <row r="426" spans="1:40" ht="12.75">
      <c r="A426" s="18" t="s">
        <v>127</v>
      </c>
      <c r="B426" s="31">
        <f>'Working counts'!B465/'Working counts'!B$28</f>
        <v>0.04372845666815697</v>
      </c>
      <c r="C426" s="31">
        <f>'Working counts'!C465/'Working counts'!C$28</f>
        <v>0.03953127205986164</v>
      </c>
      <c r="D426" s="31">
        <f>'Working counts'!D465/'Working counts'!D$28</f>
        <v>0.04331039808060891</v>
      </c>
      <c r="E426" s="31">
        <f>'Working counts'!E465/'Working counts'!E$28</f>
        <v>0.045388825079386526</v>
      </c>
      <c r="F426" s="31">
        <f>'Working counts'!F465/'Working counts'!F$28</f>
        <v>0.04938894792773645</v>
      </c>
      <c r="G426" s="31">
        <f>'Working counts'!G465/'Working counts'!G$28</f>
        <v>0.05026760143584693</v>
      </c>
      <c r="H426" s="31">
        <f>'Working counts'!H465/'Working counts'!H$28</f>
        <v>0.05118871862750089</v>
      </c>
      <c r="I426" s="31">
        <f>'Working counts'!I465/'Working counts'!I$28</f>
        <v>0.05325207313417924</v>
      </c>
      <c r="J426" s="31">
        <f>'Working counts'!J465/'Working counts'!J$28</f>
        <v>0.05620679290652239</v>
      </c>
      <c r="K426" s="31">
        <f>'Working counts'!K465/'Working counts'!K$28</f>
        <v>0.05718471608497365</v>
      </c>
      <c r="L426" s="31">
        <f>'Working counts'!L465/'Working counts'!L$28</f>
        <v>0.06402035623409669</v>
      </c>
      <c r="M426" s="31">
        <f>'Working counts'!M465/'Working counts'!M$28</f>
        <v>0.06675248657688584</v>
      </c>
      <c r="N426" s="31">
        <f>'Working counts'!N465/'Working counts'!N$28</f>
        <v>0.08050553462207657</v>
      </c>
      <c r="O426" s="31">
        <f>'Working counts'!O465/'Working counts'!O$28</f>
        <v>0.07834927587576626</v>
      </c>
      <c r="P426" s="31">
        <f>'Working counts'!P465/'Working counts'!P$28</f>
        <v>0.08197500105569866</v>
      </c>
      <c r="Q426" s="31">
        <f>'Working counts'!Q465/'Working counts'!Q$28</f>
        <v>0.08159233517242791</v>
      </c>
      <c r="R426" s="31">
        <f>'Working counts'!R465/'Working counts'!R$28</f>
        <v>0.07755787188275855</v>
      </c>
      <c r="S426" s="31">
        <f>'Working counts'!S465/'Working counts'!S$28</f>
        <v>0.0781591976887834</v>
      </c>
      <c r="T426" s="31">
        <f>'Working counts'!T465/'Working counts'!T$28</f>
        <v>0.08075399252783241</v>
      </c>
      <c r="U426" s="31">
        <f>'Working counts'!U465/'Working counts'!U$28</f>
        <v>0.08031783224050944</v>
      </c>
      <c r="V426" s="31">
        <f>'Working counts'!V465/'Working counts'!V$28</f>
        <v>0.08172056837909085</v>
      </c>
      <c r="W426" t="s">
        <v>333</v>
      </c>
      <c r="X426" s="59">
        <f>V426-B426</f>
        <v>0.037992111710933876</v>
      </c>
      <c r="AM426" s="9"/>
      <c r="AN426" s="9"/>
    </row>
    <row r="427" spans="1:40" ht="12.75">
      <c r="A427" s="18" t="s">
        <v>128</v>
      </c>
      <c r="B427" s="31">
        <f>'Working counts'!B466/'Working counts'!B$28</f>
        <v>0.09918225478460274</v>
      </c>
      <c r="C427" s="31">
        <f>'Working counts'!C466/'Working counts'!C$28</f>
        <v>0.10715798390512495</v>
      </c>
      <c r="D427" s="31">
        <f>'Working counts'!D466/'Working counts'!D$28</f>
        <v>0.11134398742467906</v>
      </c>
      <c r="E427" s="31">
        <f>'Working counts'!E466/'Working counts'!E$28</f>
        <v>0.11362745760421593</v>
      </c>
      <c r="F427" s="31">
        <f>'Working counts'!F466/'Working counts'!F$28</f>
        <v>0.11615302869287991</v>
      </c>
      <c r="G427" s="31">
        <f>'Working counts'!G466/'Working counts'!G$28</f>
        <v>0.12275972889965918</v>
      </c>
      <c r="H427" s="31">
        <f>'Working counts'!H466/'Working counts'!H$28</f>
        <v>0.1233772845288398</v>
      </c>
      <c r="I427" s="31">
        <f>'Working counts'!I466/'Working counts'!I$28</f>
        <v>0.13416674992506744</v>
      </c>
      <c r="J427" s="31">
        <f>'Working counts'!J466/'Working counts'!J$28</f>
        <v>0.11874962428614368</v>
      </c>
      <c r="K427" s="31">
        <f>'Working counts'!K466/'Working counts'!K$28</f>
        <v>0.12158841182447601</v>
      </c>
      <c r="L427" s="31">
        <f>'Working counts'!L466/'Working counts'!L$28</f>
        <v>0.13351427763641505</v>
      </c>
      <c r="M427" s="31">
        <f>'Working counts'!M466/'Working counts'!M$28</f>
        <v>0.13620059853886102</v>
      </c>
      <c r="N427" s="31">
        <f>'Working counts'!N466/'Working counts'!N$28</f>
        <v>0.14482883767599244</v>
      </c>
      <c r="O427" s="31">
        <f>'Working counts'!O466/'Working counts'!O$28</f>
        <v>0.14720817632344574</v>
      </c>
      <c r="P427" s="31">
        <f>'Working counts'!P466/'Working counts'!P$28</f>
        <v>0.15082766775051729</v>
      </c>
      <c r="Q427" s="31">
        <f>'Working counts'!Q466/'Working counts'!Q$28</f>
        <v>0.15246742345920383</v>
      </c>
      <c r="R427" s="31">
        <f>'Working counts'!R466/'Working counts'!R$28</f>
        <v>0.14323479449576326</v>
      </c>
      <c r="S427" s="31">
        <f>'Working counts'!S466/'Working counts'!S$28</f>
        <v>0.1429627540052333</v>
      </c>
      <c r="T427" s="31">
        <f>'Working counts'!T466/'Working counts'!T$28</f>
        <v>0.14888811511278832</v>
      </c>
      <c r="U427" s="31">
        <f>'Working counts'!U466/'Working counts'!U$28</f>
        <v>0.14766349842217646</v>
      </c>
      <c r="V427" s="31">
        <f>'Working counts'!V466/'Working counts'!V$28</f>
        <v>0.14811106722635045</v>
      </c>
      <c r="W427" t="s">
        <v>333</v>
      </c>
      <c r="X427" s="59">
        <f>V427-B427</f>
        <v>0.04892881244174771</v>
      </c>
      <c r="AM427" s="9"/>
      <c r="AN427" s="9"/>
    </row>
    <row r="428" spans="2:40" ht="12.75">
      <c r="B428" s="31">
        <f>SUM(B424:B427)</f>
        <v>1.0000144223142047</v>
      </c>
      <c r="C428" s="31">
        <f aca="true" t="shared" si="56" ref="C428:V428">SUM(C424:C427)</f>
        <v>0.9999858816885501</v>
      </c>
      <c r="D428" s="31">
        <f t="shared" si="56"/>
        <v>1</v>
      </c>
      <c r="E428" s="31">
        <f t="shared" si="56"/>
        <v>1</v>
      </c>
      <c r="F428" s="31">
        <f t="shared" si="56"/>
        <v>1</v>
      </c>
      <c r="G428" s="31">
        <f t="shared" si="56"/>
        <v>1</v>
      </c>
      <c r="H428" s="31">
        <f t="shared" si="56"/>
        <v>0.9999999999999999</v>
      </c>
      <c r="I428" s="31">
        <f t="shared" si="56"/>
        <v>1</v>
      </c>
      <c r="J428" s="31">
        <f t="shared" si="56"/>
        <v>1</v>
      </c>
      <c r="K428" s="31">
        <f t="shared" si="56"/>
        <v>1</v>
      </c>
      <c r="L428" s="31">
        <f t="shared" si="56"/>
        <v>1.0000113090189426</v>
      </c>
      <c r="M428" s="31">
        <f t="shared" si="56"/>
        <v>0.9999889974474078</v>
      </c>
      <c r="N428" s="31">
        <f t="shared" si="56"/>
        <v>1</v>
      </c>
      <c r="O428" s="31">
        <f t="shared" si="56"/>
        <v>1.00001073571881</v>
      </c>
      <c r="P428" s="31">
        <f t="shared" si="56"/>
        <v>1</v>
      </c>
      <c r="Q428" s="31">
        <f t="shared" si="56"/>
        <v>1</v>
      </c>
      <c r="R428" s="31">
        <f t="shared" si="56"/>
        <v>1</v>
      </c>
      <c r="S428" s="31">
        <f t="shared" si="56"/>
        <v>0.9999902726574127</v>
      </c>
      <c r="T428" s="31">
        <f t="shared" si="56"/>
        <v>1</v>
      </c>
      <c r="U428" s="31">
        <f t="shared" si="56"/>
        <v>1.0000094480451995</v>
      </c>
      <c r="V428" s="31">
        <f t="shared" si="56"/>
        <v>1</v>
      </c>
      <c r="AM428" s="9"/>
      <c r="AN428" s="9"/>
    </row>
    <row r="429" spans="18:40" ht="12.75">
      <c r="R429" s="10"/>
      <c r="S429" s="10"/>
      <c r="T429" s="10"/>
      <c r="U429" s="10"/>
      <c r="V429" s="10"/>
      <c r="AM429" s="9"/>
      <c r="AN429" s="9"/>
    </row>
    <row r="430" spans="1:40" ht="12.75">
      <c r="A430" s="2" t="s">
        <v>62</v>
      </c>
      <c r="R430" s="10"/>
      <c r="S430" s="10"/>
      <c r="T430" s="10"/>
      <c r="U430" s="10"/>
      <c r="V430" s="10"/>
      <c r="AM430" s="9"/>
      <c r="AN430" s="9"/>
    </row>
    <row r="431" spans="1:40" ht="12.75">
      <c r="A431" s="2" t="s">
        <v>63</v>
      </c>
      <c r="B431" s="31">
        <f>'Working counts'!B469/'Working counts'!B$28</f>
        <v>0.42532846820600834</v>
      </c>
      <c r="C431" s="31">
        <f>'Working counts'!C469/'Working counts'!C$28</f>
        <v>0.4211068756176761</v>
      </c>
      <c r="D431" s="31">
        <f>'Working counts'!D469/'Working counts'!D$28</f>
        <v>0.41211753512678734</v>
      </c>
      <c r="E431" s="31">
        <f>'Working counts'!E469/'Working counts'!E$28</f>
        <v>0.40914803053847715</v>
      </c>
      <c r="F431" s="31">
        <f>'Working counts'!F469/'Working counts'!F$28</f>
        <v>0.4031083953241233</v>
      </c>
      <c r="G431" s="31">
        <f>'Working counts'!G469/'Working counts'!G$28</f>
        <v>0.3933287545194189</v>
      </c>
      <c r="H431" s="31">
        <f>'Working counts'!H469/'Working counts'!H$28</f>
        <v>0.387873542737871</v>
      </c>
      <c r="I431" s="31">
        <f>'Working counts'!I469/'Working counts'!I$28</f>
        <v>0.3843166150464582</v>
      </c>
      <c r="J431" s="31">
        <f>'Working counts'!J469/'Working counts'!J$28</f>
        <v>0.3760384730988879</v>
      </c>
      <c r="K431" s="31">
        <f>'Working counts'!K469/'Working counts'!K$28</f>
        <v>0.36949124506722747</v>
      </c>
      <c r="L431" s="31">
        <f>'Working counts'!L469/'Working counts'!L$28</f>
        <v>0.38409951936669495</v>
      </c>
      <c r="M431" s="31">
        <f>'Working counts'!M469/'Working counts'!M$28</f>
        <v>0.37643033183698615</v>
      </c>
      <c r="N431" s="31">
        <f>'Working counts'!N469/'Working counts'!N$28</f>
        <v>0.38111503687969</v>
      </c>
      <c r="O431" s="31">
        <f>'Working counts'!O469/'Working counts'!O$28</f>
        <v>0.37132704220211066</v>
      </c>
      <c r="P431" s="31">
        <f>'Working counts'!P469/'Working counts'!P$28</f>
        <v>0.37402347873822894</v>
      </c>
      <c r="Q431" s="31">
        <f>'Working counts'!Q469/'Working counts'!Q$28</f>
        <v>0.3811532044261104</v>
      </c>
      <c r="R431" s="31">
        <f>'Working counts'!R469/'Working counts'!R$28</f>
        <v>0.37059113250977516</v>
      </c>
      <c r="S431" s="31">
        <f>'Working counts'!S469/'Working counts'!S$28</f>
        <v>0.3625575129130473</v>
      </c>
      <c r="T431" s="31">
        <f>'Working counts'!T469/'Working counts'!T$28</f>
        <v>0.36402819472807524</v>
      </c>
      <c r="U431" s="31">
        <f>'Working counts'!U469/'Working counts'!U$28</f>
        <v>0.3605185087205457</v>
      </c>
      <c r="V431" s="31">
        <f>'Working counts'!V469/'Working counts'!V$28</f>
        <v>0.3535652285732656</v>
      </c>
      <c r="W431" t="s">
        <v>333</v>
      </c>
      <c r="X431" s="59">
        <f>V431-B431</f>
        <v>-0.07176323963274273</v>
      </c>
      <c r="AM431" s="9"/>
      <c r="AN431" s="9"/>
    </row>
    <row r="432" spans="1:40" ht="12.75">
      <c r="A432" s="5" t="s">
        <v>33</v>
      </c>
      <c r="B432" s="31">
        <f>'Working counts'!B470/'Working counts'!B$28</f>
        <v>0.5746715317939917</v>
      </c>
      <c r="C432" s="31">
        <f>'Working counts'!C470/'Working counts'!C$28</f>
        <v>0.5788931243823239</v>
      </c>
      <c r="D432" s="31">
        <f>'Working counts'!D470/'Working counts'!D$28</f>
        <v>0.5878824648732126</v>
      </c>
      <c r="E432" s="31">
        <f>'Working counts'!E470/'Working counts'!E$28</f>
        <v>0.5908519694615229</v>
      </c>
      <c r="F432" s="31">
        <f>'Working counts'!F470/'Working counts'!F$28</f>
        <v>0.5968916046758768</v>
      </c>
      <c r="G432" s="31">
        <f>'Working counts'!G470/'Working counts'!G$28</f>
        <v>0.606671245480581</v>
      </c>
      <c r="H432" s="31">
        <f>'Working counts'!H470/'Working counts'!H$28</f>
        <v>0.612126457262129</v>
      </c>
      <c r="I432" s="31">
        <f>'Working counts'!I470/'Working counts'!I$28</f>
        <v>0.6156833849535418</v>
      </c>
      <c r="J432" s="31">
        <f>'Working counts'!J470/'Working counts'!J$28</f>
        <v>0.6239615269011121</v>
      </c>
      <c r="K432" s="31">
        <f>'Working counts'!K470/'Working counts'!K$28</f>
        <v>0.6305087549327725</v>
      </c>
      <c r="L432" s="31">
        <f>'Working counts'!L470/'Working counts'!L$28</f>
        <v>0.615900480633305</v>
      </c>
      <c r="M432" s="31">
        <f>'Working counts'!M470/'Working counts'!M$28</f>
        <v>0.6235696681630138</v>
      </c>
      <c r="N432" s="31">
        <f>'Working counts'!N470/'Working counts'!N$28</f>
        <v>0.6188849631203099</v>
      </c>
      <c r="O432" s="31">
        <f>'Working counts'!O470/'Working counts'!O$28</f>
        <v>0.6286729577978893</v>
      </c>
      <c r="P432" s="31">
        <f>'Working counts'!P470/'Working counts'!P$28</f>
        <v>0.6259765212617711</v>
      </c>
      <c r="Q432" s="31">
        <f>'Working counts'!Q470/'Working counts'!Q$28</f>
        <v>0.6188570317218225</v>
      </c>
      <c r="R432" s="31">
        <f>'Working counts'!R470/'Working counts'!R$28</f>
        <v>0.6294088674902248</v>
      </c>
      <c r="S432" s="31">
        <f>'Working counts'!S470/'Working counts'!S$28</f>
        <v>0.6374327597443654</v>
      </c>
      <c r="T432" s="31">
        <f>'Working counts'!T470/'Working counts'!T$28</f>
        <v>0.6359718052719248</v>
      </c>
      <c r="U432" s="31">
        <f>'Working counts'!U470/'Working counts'!U$28</f>
        <v>0.6394814912794543</v>
      </c>
      <c r="V432" s="31">
        <f>'Working counts'!V470/'Working counts'!V$28</f>
        <v>0.6464347714267344</v>
      </c>
      <c r="W432" t="s">
        <v>333</v>
      </c>
      <c r="X432" s="59">
        <f>V432-B432</f>
        <v>0.07176323963274278</v>
      </c>
      <c r="AM432" s="9"/>
      <c r="AN432" s="9"/>
    </row>
    <row r="433" spans="1:40" ht="12.75">
      <c r="A433" s="13" t="s">
        <v>86</v>
      </c>
      <c r="B433" s="30"/>
      <c r="C433" s="30"/>
      <c r="E433" s="30"/>
      <c r="F433" s="30"/>
      <c r="G433" s="30"/>
      <c r="H433" s="30"/>
      <c r="I433" s="30"/>
      <c r="J433" s="30"/>
      <c r="K433" s="30"/>
      <c r="L433" s="30">
        <v>0.5</v>
      </c>
      <c r="M433" s="32">
        <v>0.5</v>
      </c>
      <c r="N433" s="32">
        <v>0.5</v>
      </c>
      <c r="O433" s="32">
        <v>0.5</v>
      </c>
      <c r="P433" s="32">
        <v>0.5</v>
      </c>
      <c r="Q433" s="32">
        <v>0.5</v>
      </c>
      <c r="AM433" s="9"/>
      <c r="AN433" s="9"/>
    </row>
    <row r="434" spans="2:40" ht="12.75">
      <c r="B434" s="31">
        <f>SUM(B431:B432)</f>
        <v>1</v>
      </c>
      <c r="C434" s="31">
        <f aca="true" t="shared" si="57" ref="C434:V434">SUM(C431:C432)</f>
        <v>1</v>
      </c>
      <c r="D434" s="31">
        <f t="shared" si="57"/>
        <v>1</v>
      </c>
      <c r="E434" s="31">
        <f t="shared" si="57"/>
        <v>1</v>
      </c>
      <c r="F434" s="31">
        <f t="shared" si="57"/>
        <v>1</v>
      </c>
      <c r="G434" s="31">
        <f t="shared" si="57"/>
        <v>1</v>
      </c>
      <c r="H434" s="31">
        <f t="shared" si="57"/>
        <v>1</v>
      </c>
      <c r="I434" s="31">
        <f t="shared" si="57"/>
        <v>1</v>
      </c>
      <c r="J434" s="31">
        <f t="shared" si="57"/>
        <v>1</v>
      </c>
      <c r="K434" s="31">
        <f t="shared" si="57"/>
        <v>1</v>
      </c>
      <c r="L434" s="31">
        <f t="shared" si="57"/>
        <v>1</v>
      </c>
      <c r="M434" s="31">
        <f t="shared" si="57"/>
        <v>1</v>
      </c>
      <c r="N434" s="31">
        <f t="shared" si="57"/>
        <v>1</v>
      </c>
      <c r="O434" s="31">
        <f t="shared" si="57"/>
        <v>1</v>
      </c>
      <c r="P434" s="31">
        <f t="shared" si="57"/>
        <v>1</v>
      </c>
      <c r="Q434" s="31">
        <f t="shared" si="57"/>
        <v>1.0000102361479328</v>
      </c>
      <c r="R434" s="31">
        <f t="shared" si="57"/>
        <v>1</v>
      </c>
      <c r="S434" s="31">
        <f t="shared" si="57"/>
        <v>0.9999902726574127</v>
      </c>
      <c r="T434" s="31">
        <f t="shared" si="57"/>
        <v>1</v>
      </c>
      <c r="U434" s="31">
        <f t="shared" si="57"/>
        <v>1</v>
      </c>
      <c r="V434" s="31">
        <f t="shared" si="57"/>
        <v>1</v>
      </c>
      <c r="AM434" s="9"/>
      <c r="AN434" s="9"/>
    </row>
    <row r="435" spans="18:40" ht="12.75">
      <c r="R435" s="10"/>
      <c r="S435" s="10"/>
      <c r="T435" s="10"/>
      <c r="U435" s="10"/>
      <c r="V435" s="10"/>
      <c r="AM435" s="9"/>
      <c r="AN435" s="9"/>
    </row>
    <row r="436" spans="1:40" ht="12.75">
      <c r="A436" s="2" t="s">
        <v>134</v>
      </c>
      <c r="R436" s="10"/>
      <c r="S436" s="10"/>
      <c r="T436" s="10"/>
      <c r="U436" s="10"/>
      <c r="V436" s="10"/>
      <c r="AM436" s="9"/>
      <c r="AN436" s="9"/>
    </row>
    <row r="437" spans="1:40" ht="12.75">
      <c r="A437" s="2" t="s">
        <v>59</v>
      </c>
      <c r="B437" s="31">
        <f>'Working counts'!B475/'Working counts'!B$28</f>
        <v>0.8077361293393138</v>
      </c>
      <c r="C437" s="31">
        <f>'Working counts'!C475/'Working counts'!C$28</f>
        <v>0.80570379782578</v>
      </c>
      <c r="D437" s="31">
        <f>'Working counts'!D475/'Working counts'!D$28</f>
        <v>0.8017180756449678</v>
      </c>
      <c r="E437" s="31">
        <f>'Working counts'!E475/'Working counts'!E$28</f>
        <v>0.7995000337815013</v>
      </c>
      <c r="F437" s="31">
        <f>'Working counts'!F475/'Working counts'!F$28</f>
        <v>0.800278958554729</v>
      </c>
      <c r="G437" s="31">
        <f>'Working counts'!G475/'Working counts'!G$28</f>
        <v>0.795547319450024</v>
      </c>
      <c r="H437" s="31">
        <f>'Working counts'!H475/'Working counts'!H$28</f>
        <v>0.7936796823295831</v>
      </c>
      <c r="I437" s="31">
        <f>'Working counts'!I475/'Working counts'!I$28</f>
        <v>0.7967204515935657</v>
      </c>
      <c r="J437" s="31">
        <f>'Working counts'!J475/'Working counts'!J$28</f>
        <v>0.7967899008115419</v>
      </c>
      <c r="K437" s="31">
        <f>'Working counts'!K475/'Working counts'!K$28</f>
        <v>0.7899879486755358</v>
      </c>
      <c r="L437" s="31">
        <f>'Working counts'!L475/'Working counts'!L$28</f>
        <v>0.7863047780605033</v>
      </c>
      <c r="M437" s="31">
        <f>'Working counts'!M475/'Working counts'!M$28</f>
        <v>0.7827656016195758</v>
      </c>
      <c r="N437" s="31">
        <f>'Working counts'!N475/'Working counts'!N$28</f>
        <v>0.7854359915886554</v>
      </c>
      <c r="O437" s="31">
        <f>'Working counts'!O475/'Working counts'!O$28</f>
        <v>0.781560329371853</v>
      </c>
      <c r="P437" s="31">
        <f>'Working counts'!P475/'Working counts'!P$28</f>
        <v>0.7842363075883619</v>
      </c>
      <c r="Q437" s="31">
        <f>'Working counts'!Q475/'Working counts'!Q$28</f>
        <v>0.7866684409323084</v>
      </c>
      <c r="R437" s="31">
        <f>'Working counts'!R475/'Working counts'!R$28</f>
        <v>0.7898720435835838</v>
      </c>
      <c r="S437" s="31">
        <f>'Working counts'!S475/'Working counts'!S$28</f>
        <v>0.7916208670953182</v>
      </c>
      <c r="T437" s="31">
        <f>'Working counts'!T475/'Working counts'!T$28</f>
        <v>0.7947224287367896</v>
      </c>
      <c r="U437" s="31">
        <f>'Working counts'!U475/'Working counts'!U$28</f>
        <v>0.795667126471533</v>
      </c>
      <c r="V437" s="31">
        <f>'Working counts'!V475/'Working counts'!V$28</f>
        <v>0.7961256900368325</v>
      </c>
      <c r="W437" t="s">
        <v>333</v>
      </c>
      <c r="X437" s="59">
        <f>V437-B437</f>
        <v>-0.01161043930248129</v>
      </c>
      <c r="AM437" s="9"/>
      <c r="AN437" s="9"/>
    </row>
    <row r="438" spans="1:40" ht="12.75">
      <c r="A438" s="13" t="s">
        <v>144</v>
      </c>
      <c r="B438" s="31">
        <f>'Working counts'!B478/'Working counts'!B$28</f>
        <v>0.19227829297489074</v>
      </c>
      <c r="C438" s="31">
        <f>'Working counts'!C478/'Working counts'!C$28</f>
        <v>0.1943103204856699</v>
      </c>
      <c r="D438" s="31">
        <f>'Working counts'!D478/'Working counts'!D$28</f>
        <v>0.19830950181321788</v>
      </c>
      <c r="E438" s="31">
        <f>'Working counts'!E478/'Working counts'!E$28</f>
        <v>0.20052699141949867</v>
      </c>
      <c r="F438" s="31">
        <f>'Working counts'!F478/'Working counts'!F$28</f>
        <v>0.19972104144527097</v>
      </c>
      <c r="G438" s="31">
        <f>'Working counts'!G478/'Working counts'!G$28</f>
        <v>0.20442676273536614</v>
      </c>
      <c r="H438" s="31">
        <f>'Working counts'!H478/'Working counts'!H$28</f>
        <v>0.20635849921091484</v>
      </c>
      <c r="I438" s="31">
        <f>'Working counts'!I478/'Working counts'!I$28</f>
        <v>0.2032795484064342</v>
      </c>
      <c r="J438" s="31">
        <f>'Working counts'!J478/'Working counts'!J$28</f>
        <v>0.20322212203186055</v>
      </c>
      <c r="K438" s="31">
        <f>'Working counts'!K478/'Working counts'!K$28</f>
        <v>0.21001205132446418</v>
      </c>
      <c r="L438" s="31">
        <f>'Working counts'!L478/'Working counts'!L$28</f>
        <v>0.21369522193949675</v>
      </c>
      <c r="M438" s="31">
        <f>'Working counts'!M478/'Working counts'!M$28</f>
        <v>0.21723439838042427</v>
      </c>
      <c r="N438" s="31">
        <f>'Working counts'!N478/'Working counts'!N$28</f>
        <v>0.214553334116115</v>
      </c>
      <c r="O438" s="31">
        <f>'Working counts'!O478/'Working counts'!O$28</f>
        <v>0.21845040634695695</v>
      </c>
      <c r="P438" s="31">
        <f>'Working counts'!P478/'Working counts'!P$28</f>
        <v>0.21575313542502428</v>
      </c>
      <c r="Q438" s="31">
        <f>'Working counts'!Q478/'Working counts'!Q$28</f>
        <v>0.21333155906769163</v>
      </c>
      <c r="R438" s="31">
        <f>'Working counts'!R478/'Working counts'!R$28</f>
        <v>0.21014805954546825</v>
      </c>
      <c r="S438" s="31">
        <f>'Working counts'!S478/'Working counts'!S$28</f>
        <v>0.20838886024726905</v>
      </c>
      <c r="T438" s="31">
        <f>'Working counts'!T478/'Working counts'!T$28</f>
        <v>0.2052681604727981</v>
      </c>
      <c r="U438" s="31">
        <f>'Working counts'!U478/'Working counts'!U$28</f>
        <v>0.20433287352846696</v>
      </c>
      <c r="V438" s="31">
        <f>'Working counts'!V478/'Working counts'!V$28</f>
        <v>0.20388349514563106</v>
      </c>
      <c r="W438" t="s">
        <v>333</v>
      </c>
      <c r="X438" s="59">
        <f>V438-B438</f>
        <v>0.01160520217074032</v>
      </c>
      <c r="AM438" s="9"/>
      <c r="AN438" s="9"/>
    </row>
    <row r="439" spans="1:40" ht="12.75">
      <c r="A439" s="13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X439" s="59"/>
      <c r="AM439" s="9"/>
      <c r="AN439" s="9"/>
    </row>
    <row r="440" spans="1:40" ht="12.75">
      <c r="A440" s="2" t="s">
        <v>60</v>
      </c>
      <c r="L440" s="31">
        <f>'Working counts'!L476/'Working counts'!L$28</f>
        <v>0.12761096974837433</v>
      </c>
      <c r="M440" s="31">
        <f>'Working counts'!M476/'Working counts'!M$28</f>
        <v>0.12861983980283426</v>
      </c>
      <c r="N440" s="31">
        <f>'Working counts'!N476/'Working counts'!N$28</f>
        <v>0.12575387210059455</v>
      </c>
      <c r="O440" s="31">
        <f>'Working counts'!O476/'Working counts'!O$28</f>
        <v>0.12430888810160284</v>
      </c>
      <c r="P440" s="31">
        <f>'Working counts'!P476/'Working counts'!P$28</f>
        <v>0.1209408386470166</v>
      </c>
      <c r="Q440" s="31">
        <f>'Working counts'!Q476/'Working counts'!Q$28</f>
        <v>0.11717318538687521</v>
      </c>
      <c r="R440" s="31">
        <f>'Working counts'!R476/'Working counts'!R$28</f>
        <v>0.11053705509262517</v>
      </c>
      <c r="S440" s="31">
        <f>'Working counts'!S476/'Working counts'!S$28</f>
        <v>0.10739958950614281</v>
      </c>
      <c r="T440" s="31">
        <f>'Working counts'!T476/'Working counts'!T$28</f>
        <v>0.10121305088414376</v>
      </c>
      <c r="U440" s="31">
        <f>'Working counts'!U476/'Working counts'!U$28</f>
        <v>0.10186882334045086</v>
      </c>
      <c r="V440" s="31">
        <f>'Working counts'!V476/'Working counts'!V$28</f>
        <v>0.10179019206216532</v>
      </c>
      <c r="W440" t="s">
        <v>333</v>
      </c>
      <c r="X440" s="59">
        <f>V440-L440</f>
        <v>-0.02582077768620901</v>
      </c>
      <c r="AM440" s="9"/>
      <c r="AN440" s="9"/>
    </row>
    <row r="441" spans="1:40" ht="12.75">
      <c r="A441" s="5" t="s">
        <v>61</v>
      </c>
      <c r="L441" s="31">
        <f>'Working counts'!L477/'Working counts'!L$28</f>
        <v>0.08608425219112242</v>
      </c>
      <c r="M441" s="31">
        <f>'Working counts'!M477/'Working counts'!M$28</f>
        <v>0.08861455857759</v>
      </c>
      <c r="N441" s="31">
        <f>'Working counts'!N477/'Working counts'!N$28</f>
        <v>0.08879946201552043</v>
      </c>
      <c r="O441" s="31">
        <f>'Working counts'!O477/'Working counts'!O$28</f>
        <v>0.09414151824535412</v>
      </c>
      <c r="P441" s="31">
        <f>'Working counts'!P477/'Working counts'!P$28</f>
        <v>0.09481229677800769</v>
      </c>
      <c r="Q441" s="31">
        <f>'Working counts'!Q477/'Working counts'!Q$28</f>
        <v>0.09615837368081644</v>
      </c>
      <c r="R441" s="31">
        <f>'Working counts'!R477/'Working counts'!R$28</f>
        <v>0.09961100445284309</v>
      </c>
      <c r="S441" s="31">
        <f>'Working counts'!S477/'Working counts'!S$28</f>
        <v>0.10098927074112624</v>
      </c>
      <c r="T441" s="31">
        <f>'Working counts'!T477/'Working counts'!T$28</f>
        <v>0.10405510958865435</v>
      </c>
      <c r="U441" s="31">
        <f>'Working counts'!U477/'Working counts'!U$28</f>
        <v>0.1024640501880161</v>
      </c>
      <c r="V441" s="31">
        <f>'Working counts'!V477/'Working counts'!V$28</f>
        <v>0.10209330308346576</v>
      </c>
      <c r="W441" t="s">
        <v>333</v>
      </c>
      <c r="X441" s="59">
        <f>V441-L441</f>
        <v>0.016009050892343335</v>
      </c>
      <c r="AM441" s="9"/>
      <c r="AN441" s="9"/>
    </row>
    <row r="442" spans="1:40" ht="12.75">
      <c r="A442" s="18"/>
      <c r="B442" s="31">
        <f aca="true" t="shared" si="58" ref="B442:V442">B437+B438</f>
        <v>1.0000144223142047</v>
      </c>
      <c r="C442" s="31">
        <f t="shared" si="58"/>
        <v>1.00001411831145</v>
      </c>
      <c r="D442" s="31">
        <f t="shared" si="58"/>
        <v>1.0000275774581857</v>
      </c>
      <c r="E442" s="31">
        <f t="shared" si="58"/>
        <v>1.000027025201</v>
      </c>
      <c r="F442" s="31">
        <f t="shared" si="58"/>
        <v>1</v>
      </c>
      <c r="G442" s="31">
        <f t="shared" si="58"/>
        <v>0.9999740821853902</v>
      </c>
      <c r="H442" s="31">
        <f t="shared" si="58"/>
        <v>1.000038181540498</v>
      </c>
      <c r="I442" s="31">
        <f t="shared" si="58"/>
        <v>1</v>
      </c>
      <c r="J442" s="31">
        <f t="shared" si="58"/>
        <v>1.0000120228434024</v>
      </c>
      <c r="K442" s="31">
        <f t="shared" si="58"/>
        <v>1</v>
      </c>
      <c r="L442" s="31">
        <f t="shared" si="58"/>
        <v>1</v>
      </c>
      <c r="M442" s="31">
        <f t="shared" si="58"/>
        <v>1</v>
      </c>
      <c r="N442" s="31">
        <f t="shared" si="58"/>
        <v>0.9999893257047704</v>
      </c>
      <c r="O442" s="31">
        <f t="shared" si="58"/>
        <v>1.00001073571881</v>
      </c>
      <c r="P442" s="31">
        <f t="shared" si="58"/>
        <v>0.9999894430133862</v>
      </c>
      <c r="Q442" s="31">
        <f t="shared" si="58"/>
        <v>1</v>
      </c>
      <c r="R442" s="31">
        <f t="shared" si="58"/>
        <v>1.000020103129052</v>
      </c>
      <c r="S442" s="31">
        <f t="shared" si="58"/>
        <v>1.0000097273425872</v>
      </c>
      <c r="T442" s="31">
        <f t="shared" si="58"/>
        <v>0.9999905892095877</v>
      </c>
      <c r="U442" s="31">
        <f t="shared" si="58"/>
        <v>1</v>
      </c>
      <c r="V442" s="31">
        <f t="shared" si="58"/>
        <v>1.0000091851824635</v>
      </c>
      <c r="AM442" s="9"/>
      <c r="AN442" s="9"/>
    </row>
    <row r="443" spans="1:40" ht="12.75">
      <c r="A443" s="18"/>
      <c r="L443" s="9">
        <f aca="true" t="shared" si="59" ref="L443:V443">L438-SUM(L440:L441)</f>
        <v>0</v>
      </c>
      <c r="M443" s="9">
        <f t="shared" si="59"/>
        <v>0</v>
      </c>
      <c r="N443" s="9">
        <f t="shared" si="59"/>
        <v>0</v>
      </c>
      <c r="O443" s="9">
        <f t="shared" si="59"/>
        <v>0</v>
      </c>
      <c r="P443" s="9">
        <f t="shared" si="59"/>
        <v>0</v>
      </c>
      <c r="Q443" s="9">
        <f t="shared" si="59"/>
        <v>0</v>
      </c>
      <c r="R443" s="9">
        <f t="shared" si="59"/>
        <v>0</v>
      </c>
      <c r="S443" s="9">
        <f t="shared" si="59"/>
        <v>0</v>
      </c>
      <c r="T443" s="9">
        <f t="shared" si="59"/>
        <v>0</v>
      </c>
      <c r="U443" s="9">
        <f t="shared" si="59"/>
        <v>0</v>
      </c>
      <c r="V443" s="9">
        <f t="shared" si="59"/>
        <v>0</v>
      </c>
      <c r="AM443" s="9"/>
      <c r="AN443" s="9"/>
    </row>
    <row r="444" spans="1:40" ht="12.75">
      <c r="A444" s="5"/>
      <c r="R444" s="10"/>
      <c r="S444" s="10"/>
      <c r="T444" s="10"/>
      <c r="U444" s="10"/>
      <c r="V444" s="10"/>
      <c r="AM444" s="9"/>
      <c r="AN444" s="9"/>
    </row>
    <row r="445" spans="1:40" ht="12.75">
      <c r="A445" s="2" t="s">
        <v>64</v>
      </c>
      <c r="R445" s="10"/>
      <c r="S445" s="10"/>
      <c r="T445" s="10"/>
      <c r="U445" s="10"/>
      <c r="V445" s="10"/>
      <c r="AM445" s="9"/>
      <c r="AN445" s="9"/>
    </row>
    <row r="446" spans="1:40" ht="12.75">
      <c r="A446" s="2" t="s">
        <v>65</v>
      </c>
      <c r="B446" s="31">
        <f>'Working counts'!B482/'Working counts'!B$28</f>
        <v>0.8864386979534736</v>
      </c>
      <c r="C446" s="31">
        <f>'Working counts'!C482/'Working counts'!C$28</f>
        <v>0.8832698009318085</v>
      </c>
      <c r="D446" s="31">
        <f>'Working counts'!D482/'Working counts'!D$28</f>
        <v>0.8805482398687313</v>
      </c>
      <c r="E446" s="31">
        <f>'Working counts'!E482/'Working counts'!E$28</f>
        <v>0.8798594689548004</v>
      </c>
      <c r="F446" s="31">
        <f>'Working counts'!F482/'Working counts'!F$28</f>
        <v>0.8782013815090329</v>
      </c>
      <c r="G446" s="31">
        <f>'Working counts'!G482/'Working counts'!G$28</f>
        <v>0.8768515038811927</v>
      </c>
      <c r="H446" s="31">
        <f>'Working counts'!H482/'Working counts'!H$28</f>
        <v>0.8754518148958916</v>
      </c>
      <c r="I446" s="31">
        <f>'Working counts'!I482/'Working counts'!I$28</f>
        <v>0.8732390848236588</v>
      </c>
      <c r="J446" s="31">
        <f>'Working counts'!J482/'Working counts'!J$28</f>
        <v>0.8703456567478208</v>
      </c>
      <c r="K446" s="31">
        <f>'Working counts'!K482/'Working counts'!K$28</f>
        <v>0.8573217703631938</v>
      </c>
      <c r="L446" s="31">
        <f>'Working counts'!L482/'Working counts'!L$28</f>
        <v>0.8624936386768448</v>
      </c>
      <c r="M446" s="31">
        <f>'Working counts'!M482/'Working counts'!M$28</f>
        <v>0.8601685591057125</v>
      </c>
      <c r="N446" s="31">
        <f>'Working counts'!N482/'Working counts'!N$28</f>
        <v>0.8572739984842501</v>
      </c>
      <c r="O446" s="31">
        <f>'Working counts'!O482/'Working counts'!O$28</f>
        <v>0.8496247866275887</v>
      </c>
      <c r="P446" s="31">
        <f>'Working counts'!P482/'Working counts'!P$28</f>
        <v>0.8448650817110764</v>
      </c>
      <c r="Q446" s="31">
        <f>'Working counts'!Q482/'Working counts'!Q$28</f>
        <v>0.8353822689445508</v>
      </c>
      <c r="R446" s="31">
        <f>'Working counts'!R482/'Working counts'!R$28</f>
        <v>0.8257762320705218</v>
      </c>
      <c r="S446" s="31">
        <f>'Working counts'!S482/'Working counts'!S$28</f>
        <v>0.813439296518584</v>
      </c>
      <c r="T446" s="31">
        <f>'Working counts'!T482/'Working counts'!T$28</f>
        <v>0.8026651358447596</v>
      </c>
      <c r="U446" s="31">
        <f>'Working counts'!U482/'Working counts'!U$28</f>
        <v>0.8265433381833299</v>
      </c>
      <c r="V446" s="31">
        <f>'Working counts'!V482/'Working counts'!V$28</f>
        <v>0.8216053861909967</v>
      </c>
      <c r="W446" t="s">
        <v>333</v>
      </c>
      <c r="X446" s="59">
        <f>V446-B446</f>
        <v>-0.06483331176247698</v>
      </c>
      <c r="AM446" s="9"/>
      <c r="AN446" s="9"/>
    </row>
    <row r="447" spans="1:40" ht="12.75">
      <c r="A447" s="2" t="s">
        <v>68</v>
      </c>
      <c r="B447" s="31">
        <f>'Working counts'!B485/'Working counts'!B$28</f>
        <v>0.10040815149198841</v>
      </c>
      <c r="C447" s="31">
        <f>'Working counts'!C485/'Working counts'!C$28</f>
        <v>0.10271071579839051</v>
      </c>
      <c r="D447" s="31">
        <f>'Working counts'!D485/'Working counts'!D$28</f>
        <v>0.10425658067095955</v>
      </c>
      <c r="E447" s="31">
        <f>'Working counts'!E485/'Working counts'!E$28</f>
        <v>0.10419566245523951</v>
      </c>
      <c r="F447" s="31">
        <f>'Working counts'!F485/'Working counts'!F$28</f>
        <v>0.10568544102019128</v>
      </c>
      <c r="G447" s="31">
        <f>'Working counts'!G485/'Working counts'!G$28</f>
        <v>0.10600386175437687</v>
      </c>
      <c r="H447" s="31">
        <f>'Working counts'!H485/'Working counts'!H$28</f>
        <v>0.10632286310645013</v>
      </c>
      <c r="I447" s="31">
        <f>'Working counts'!I485/'Working counts'!I$28</f>
        <v>0.10744080327705065</v>
      </c>
      <c r="J447" s="31">
        <f>'Working counts'!J485/'Working counts'!J$28</f>
        <v>0.10832581905620679</v>
      </c>
      <c r="K447" s="31">
        <f>'Working counts'!K485/'Working counts'!K$28</f>
        <v>0.10826106476996149</v>
      </c>
      <c r="L447" s="31">
        <f>'Working counts'!L485/'Working counts'!L$28</f>
        <v>0.11199321458863444</v>
      </c>
      <c r="M447" s="31">
        <f>'Working counts'!M485/'Working counts'!M$28</f>
        <v>0.11278716662265646</v>
      </c>
      <c r="N447" s="31">
        <f>'Working counts'!N485/'Working counts'!N$28</f>
        <v>0.1134997811769478</v>
      </c>
      <c r="O447" s="31">
        <f>'Working counts'!O485/'Working counts'!O$28</f>
        <v>0.11628930615049331</v>
      </c>
      <c r="P447" s="31">
        <f>'Working counts'!P485/'Working counts'!P$28</f>
        <v>0.11747814703770956</v>
      </c>
      <c r="Q447" s="31">
        <f>'Working counts'!Q485/'Working counts'!Q$28</f>
        <v>0.12051016961297124</v>
      </c>
      <c r="R447" s="31">
        <f>'Working counts'!R485/'Working counts'!R$28</f>
        <v>0.12147315729693327</v>
      </c>
      <c r="S447" s="31">
        <f>'Working counts'!S485/'Working counts'!S$28</f>
        <v>0.12583290370903571</v>
      </c>
      <c r="T447" s="31">
        <f>'Working counts'!T485/'Working counts'!T$28</f>
        <v>0.1250882261601152</v>
      </c>
      <c r="U447" s="31">
        <f>'Working counts'!U485/'Working counts'!U$28</f>
        <v>0.12286237977362484</v>
      </c>
      <c r="V447" s="31">
        <f>'Working counts'!V485/'Working counts'!V$28</f>
        <v>0.12351314858869672</v>
      </c>
      <c r="W447" t="s">
        <v>333</v>
      </c>
      <c r="X447" s="59">
        <f>V447-B447</f>
        <v>0.02310499709670831</v>
      </c>
      <c r="AM447" s="9"/>
      <c r="AN447" s="9"/>
    </row>
    <row r="448" spans="1:40" ht="12.75">
      <c r="A448" s="2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X448" s="59"/>
      <c r="AM448" s="9"/>
      <c r="AN448" s="9"/>
    </row>
    <row r="449" spans="1:40" ht="12.75">
      <c r="A449" s="5" t="s">
        <v>71</v>
      </c>
      <c r="B449" s="31">
        <f>'Working counts'!B493/'Working counts'!B$28</f>
        <v>0.039719053319295615</v>
      </c>
      <c r="C449" s="31">
        <f>'Working counts'!C493/'Working counts'!C$28</f>
        <v>0.04012424114075956</v>
      </c>
      <c r="D449" s="31">
        <f>'Working counts'!D493/'Working counts'!D$28</f>
        <v>0.04262096162596694</v>
      </c>
      <c r="E449" s="31">
        <f>'Working counts'!E493/'Working counts'!E$28</f>
        <v>0.044118640632389704</v>
      </c>
      <c r="F449" s="31">
        <f>'Working counts'!F493/'Working counts'!F$28</f>
        <v>0.048007438894792774</v>
      </c>
      <c r="G449" s="31">
        <f>'Working counts'!G493/'Working counts'!G$28</f>
        <v>0.04908834087109775</v>
      </c>
      <c r="H449" s="31">
        <f>'Working counts'!H493/'Working counts'!H$28</f>
        <v>0.05003054523239831</v>
      </c>
      <c r="I449" s="31">
        <f>'Working counts'!I493/'Working counts'!I$28</f>
        <v>0.05096663003297033</v>
      </c>
      <c r="J449" s="31">
        <f>'Working counts'!J493/'Working counts'!J$28</f>
        <v>0.052034866245867145</v>
      </c>
      <c r="K449" s="31">
        <f>'Working counts'!K493/'Working counts'!K$28</f>
        <v>0.05427822018478697</v>
      </c>
      <c r="L449" s="31">
        <f>'Working counts'!L493/'Working counts'!L$28</f>
        <v>0.0645518801243992</v>
      </c>
      <c r="M449" s="31">
        <f>'Working counts'!M493/'Working counts'!M$28</f>
        <v>0.061471261332629167</v>
      </c>
      <c r="N449" s="31">
        <f>'Working counts'!N493/'Working counts'!N$28</f>
        <v>0.0662233276047949</v>
      </c>
      <c r="O449" s="31">
        <f>'Working counts'!O493/'Working counts'!O$28</f>
        <v>0.06698014965592021</v>
      </c>
      <c r="P449" s="31">
        <f>'Working counts'!P493/'Working counts'!P$28</f>
        <v>0.0698239094632828</v>
      </c>
      <c r="Q449" s="31">
        <f>'Working counts'!Q493/'Working counts'!Q$28</f>
        <v>0.07940179951480658</v>
      </c>
      <c r="R449" s="31">
        <f>'Working counts'!R493/'Working counts'!R$28</f>
        <v>0.08556896880999527</v>
      </c>
      <c r="S449" s="31">
        <f>'Working counts'!S493/'Working counts'!S$28</f>
        <v>0.08794490433158565</v>
      </c>
      <c r="T449" s="31">
        <f>'Working counts'!T493/'Working counts'!T$28</f>
        <v>0.09235749710618195</v>
      </c>
      <c r="U449" s="31">
        <f>'Working counts'!U493/'Working counts'!U$28</f>
        <v>0.10428752291150961</v>
      </c>
      <c r="V449" s="31">
        <f>'Working counts'!V493/'Working counts'!V$28</f>
        <v>0.10701656088398195</v>
      </c>
      <c r="W449" t="s">
        <v>333</v>
      </c>
      <c r="X449" s="59">
        <f>V449-B449</f>
        <v>0.06729750756468633</v>
      </c>
      <c r="AM449" s="9"/>
      <c r="AN449" s="9"/>
    </row>
    <row r="450" spans="3:40" ht="12.75">
      <c r="C450" s="44"/>
      <c r="D450" s="44"/>
      <c r="E450" s="44"/>
      <c r="F450" s="44"/>
      <c r="G450" s="44"/>
      <c r="H450" s="44"/>
      <c r="I450" s="44"/>
      <c r="J450" s="44"/>
      <c r="K450" s="44" t="s">
        <v>326</v>
      </c>
      <c r="R450" s="10"/>
      <c r="S450" s="10"/>
      <c r="T450" s="10"/>
      <c r="U450" s="10"/>
      <c r="V450" s="10"/>
      <c r="AM450" s="9"/>
      <c r="AN450" s="9"/>
    </row>
    <row r="451" spans="1:40" ht="12.75">
      <c r="A451" s="5"/>
      <c r="R451" s="10"/>
      <c r="S451" s="10"/>
      <c r="T451" s="10"/>
      <c r="U451" s="10"/>
      <c r="V451" s="10"/>
      <c r="AM451" s="9"/>
      <c r="AN451" s="9"/>
    </row>
    <row r="452" spans="1:40" ht="12.75">
      <c r="A452" s="5"/>
      <c r="R452" s="10"/>
      <c r="S452" s="10"/>
      <c r="T452" s="10"/>
      <c r="U452" s="10"/>
      <c r="V452" s="10"/>
      <c r="AM452" s="9"/>
      <c r="AN452" s="9"/>
    </row>
    <row r="453" spans="1:40" ht="12.75">
      <c r="A453" s="3"/>
      <c r="R453" s="10"/>
      <c r="S453" s="10"/>
      <c r="T453" s="10"/>
      <c r="U453" s="10"/>
      <c r="V453" s="10"/>
      <c r="AM453" s="9"/>
      <c r="AN453" s="9"/>
    </row>
    <row r="454" spans="1:22" ht="12.75">
      <c r="A454" s="2"/>
      <c r="R454" s="10"/>
      <c r="S454" s="10"/>
      <c r="T454" s="10"/>
      <c r="U454" s="10"/>
      <c r="V454" s="10"/>
    </row>
    <row r="455" spans="1:22" ht="12.75">
      <c r="A455" s="2"/>
      <c r="R455" s="10"/>
      <c r="S455" s="10"/>
      <c r="T455" s="10"/>
      <c r="U455" s="10"/>
      <c r="V455" s="10"/>
    </row>
    <row r="456" spans="1:22" ht="12.75">
      <c r="A456" s="13"/>
      <c r="R456" s="10"/>
      <c r="S456" s="10"/>
      <c r="T456" s="10"/>
      <c r="U456" s="10"/>
      <c r="V456" s="10"/>
    </row>
    <row r="457" spans="1:22" ht="12.75">
      <c r="A457" s="5"/>
      <c r="R457" s="14"/>
      <c r="S457" s="14"/>
      <c r="T457" s="14"/>
      <c r="U457" s="14"/>
      <c r="V457" s="14"/>
    </row>
    <row r="458" ht="12.75">
      <c r="A458" s="6"/>
    </row>
    <row r="459" ht="12.75">
      <c r="A459" s="6"/>
    </row>
    <row r="460" ht="12.75">
      <c r="A460" s="1"/>
    </row>
    <row r="461" ht="12.75">
      <c r="A461" s="6"/>
    </row>
    <row r="462" spans="18:22" ht="12.75">
      <c r="R462" s="10"/>
      <c r="S462" s="10"/>
      <c r="T462" s="10"/>
      <c r="U462" s="10"/>
      <c r="V462" s="10"/>
    </row>
    <row r="463" spans="18:22" ht="12.75">
      <c r="R463" s="10"/>
      <c r="S463" s="10"/>
      <c r="T463" s="10"/>
      <c r="U463" s="10"/>
      <c r="V463" s="10"/>
    </row>
    <row r="464" spans="1:22" ht="12.75">
      <c r="A464" s="4"/>
      <c r="R464" s="10"/>
      <c r="S464" s="10"/>
      <c r="T464" s="10"/>
      <c r="U464" s="10"/>
      <c r="V464" s="10"/>
    </row>
    <row r="465" spans="1:22" ht="12.75">
      <c r="A465" s="4"/>
      <c r="R465" s="10"/>
      <c r="S465" s="10"/>
      <c r="T465" s="10"/>
      <c r="U465" s="10"/>
      <c r="V465" s="10"/>
    </row>
    <row r="471" spans="1:22" ht="12.75">
      <c r="A471" s="4"/>
      <c r="R471" s="10"/>
      <c r="S471" s="10"/>
      <c r="T471" s="10"/>
      <c r="U471" s="10"/>
      <c r="V471" s="10"/>
    </row>
    <row r="479" spans="1:22" ht="12.75">
      <c r="A479" s="4"/>
      <c r="R479" s="10"/>
      <c r="S479" s="10"/>
      <c r="T479" s="10"/>
      <c r="U479" s="10"/>
      <c r="V479" s="10"/>
    </row>
    <row r="480" spans="1:22" ht="12.75">
      <c r="A480" s="4"/>
      <c r="R480" s="10"/>
      <c r="S480" s="10"/>
      <c r="T480" s="10"/>
      <c r="U480" s="10"/>
      <c r="V480" s="10"/>
    </row>
    <row r="481" spans="1:22" ht="12.75">
      <c r="A481" s="4"/>
      <c r="R481" s="10"/>
      <c r="S481" s="10"/>
      <c r="T481" s="10"/>
      <c r="U481" s="10"/>
      <c r="V481" s="10"/>
    </row>
    <row r="482" spans="1:22" ht="12.75">
      <c r="A482" s="2"/>
      <c r="R482" s="10"/>
      <c r="S482" s="10"/>
      <c r="T482" s="10"/>
      <c r="U482" s="10"/>
      <c r="V482" s="10"/>
    </row>
    <row r="483" spans="1:22" ht="12.75">
      <c r="A483" s="2"/>
      <c r="R483" s="10"/>
      <c r="S483" s="10"/>
      <c r="T483" s="10"/>
      <c r="U483" s="10"/>
      <c r="V483" s="10"/>
    </row>
    <row r="484" spans="1:22" ht="12.75">
      <c r="A484" s="2"/>
      <c r="R484" s="10"/>
      <c r="S484" s="10"/>
      <c r="T484" s="10"/>
      <c r="U484" s="10"/>
      <c r="V484" s="10"/>
    </row>
    <row r="485" spans="1:22" ht="12.75">
      <c r="A485" s="2"/>
      <c r="R485" s="10"/>
      <c r="S485" s="10"/>
      <c r="T485" s="10"/>
      <c r="U485" s="10"/>
      <c r="V485" s="10"/>
    </row>
    <row r="486" spans="1:22" ht="12.75">
      <c r="A486" s="2"/>
      <c r="R486" s="10"/>
      <c r="S486" s="10"/>
      <c r="T486" s="10"/>
      <c r="U486" s="10"/>
      <c r="V486" s="10"/>
    </row>
    <row r="487" spans="1:22" ht="12.75">
      <c r="A487" s="4"/>
      <c r="R487" s="10"/>
      <c r="S487" s="10"/>
      <c r="T487" s="10"/>
      <c r="U487" s="10"/>
      <c r="V487" s="10"/>
    </row>
    <row r="488" spans="1:22" ht="12.75">
      <c r="A488" s="4"/>
      <c r="R488" s="10"/>
      <c r="S488" s="10"/>
      <c r="T488" s="10"/>
      <c r="U488" s="10"/>
      <c r="V488" s="10"/>
    </row>
    <row r="496" spans="1:22" ht="12.75">
      <c r="A496" s="4"/>
      <c r="R496" s="10"/>
      <c r="S496" s="10"/>
      <c r="T496" s="10"/>
      <c r="U496" s="10"/>
      <c r="V496" s="10"/>
    </row>
    <row r="497" spans="1:22" ht="12.75">
      <c r="A497" s="4"/>
      <c r="R497" s="10"/>
      <c r="S497" s="10"/>
      <c r="T497" s="10"/>
      <c r="U497" s="10"/>
      <c r="V497" s="10"/>
    </row>
    <row r="498" spans="1:22" ht="12.75">
      <c r="A498" s="2"/>
      <c r="R498" s="10"/>
      <c r="S498" s="10"/>
      <c r="T498" s="10"/>
      <c r="U498" s="10"/>
      <c r="V498" s="10"/>
    </row>
    <row r="499" spans="1:22" ht="12.75">
      <c r="A499" s="2"/>
      <c r="R499" s="10"/>
      <c r="S499" s="10"/>
      <c r="T499" s="10"/>
      <c r="U499" s="10"/>
      <c r="V499" s="10"/>
    </row>
    <row r="500" spans="1:22" ht="12.75">
      <c r="A500" s="2"/>
      <c r="R500" s="10"/>
      <c r="S500" s="10"/>
      <c r="T500" s="10"/>
      <c r="U500" s="10"/>
      <c r="V500" s="10"/>
    </row>
    <row r="501" spans="1:22" ht="12.75">
      <c r="A501" s="2"/>
      <c r="R501" s="10"/>
      <c r="S501" s="10"/>
      <c r="T501" s="10"/>
      <c r="U501" s="10"/>
      <c r="V501" s="10"/>
    </row>
    <row r="502" spans="1:22" ht="12.75">
      <c r="A502" s="2"/>
      <c r="R502" s="10"/>
      <c r="S502" s="10"/>
      <c r="T502" s="10"/>
      <c r="U502" s="10"/>
      <c r="V502" s="10"/>
    </row>
  </sheetData>
  <printOptions gridLines="1"/>
  <pageMargins left="0.75" right="0.75" top="0.52" bottom="0.5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B191"/>
  <sheetViews>
    <sheetView workbookViewId="0" topLeftCell="A1">
      <selection activeCell="F200" sqref="F200"/>
    </sheetView>
  </sheetViews>
  <sheetFormatPr defaultColWidth="9.140625" defaultRowHeight="12.75"/>
  <cols>
    <col min="1" max="1" width="22.421875" style="0" customWidth="1"/>
    <col min="2" max="2" width="10.28125" style="0" bestFit="1" customWidth="1"/>
  </cols>
  <sheetData>
    <row r="2" ht="12.75">
      <c r="A2" s="92" t="s">
        <v>375</v>
      </c>
    </row>
    <row r="3" spans="1:22" ht="12.75">
      <c r="A3" s="92" t="s">
        <v>74</v>
      </c>
      <c r="B3" s="9">
        <v>24684</v>
      </c>
      <c r="C3" s="9">
        <v>25046</v>
      </c>
      <c r="D3" s="9">
        <v>25656</v>
      </c>
      <c r="E3" s="9">
        <v>26101</v>
      </c>
      <c r="F3" s="9">
        <v>26515</v>
      </c>
      <c r="G3" s="9">
        <v>26884</v>
      </c>
      <c r="H3" s="9">
        <v>27160</v>
      </c>
      <c r="I3" s="9">
        <v>27556</v>
      </c>
      <c r="J3" s="9">
        <v>28833</v>
      </c>
      <c r="K3" s="9">
        <v>29914</v>
      </c>
      <c r="L3" s="9">
        <v>32280</v>
      </c>
      <c r="M3" s="9">
        <v>32724</v>
      </c>
      <c r="N3" s="9">
        <v>33767</v>
      </c>
      <c r="O3" s="9">
        <v>33351</v>
      </c>
      <c r="P3" s="9">
        <v>33472</v>
      </c>
      <c r="Q3" s="9">
        <v>34150</v>
      </c>
      <c r="R3" s="9">
        <v>34000</v>
      </c>
      <c r="S3" s="9">
        <v>34007</v>
      </c>
      <c r="T3" s="9">
        <v>33996</v>
      </c>
      <c r="U3" s="9">
        <v>33604</v>
      </c>
      <c r="V3" s="9">
        <v>33940</v>
      </c>
    </row>
    <row r="4" spans="1:22" ht="12.75">
      <c r="A4" s="7"/>
      <c r="B4" s="34">
        <v>1973</v>
      </c>
      <c r="C4" s="34">
        <v>1974</v>
      </c>
      <c r="D4" s="34">
        <v>1975</v>
      </c>
      <c r="E4" s="34">
        <v>1976</v>
      </c>
      <c r="F4" s="34">
        <v>1977</v>
      </c>
      <c r="G4" s="34">
        <v>1978</v>
      </c>
      <c r="H4" s="34">
        <v>1979</v>
      </c>
      <c r="I4" s="34">
        <v>1980</v>
      </c>
      <c r="J4" s="34">
        <v>1981</v>
      </c>
      <c r="K4" s="34">
        <v>1983</v>
      </c>
      <c r="L4" s="34">
        <v>1985</v>
      </c>
      <c r="M4" s="33">
        <v>1987</v>
      </c>
      <c r="N4" s="33">
        <v>1989</v>
      </c>
      <c r="O4" s="33">
        <v>1991</v>
      </c>
      <c r="P4" s="33">
        <v>1993</v>
      </c>
      <c r="Q4" s="33">
        <v>1995</v>
      </c>
      <c r="R4" s="15">
        <v>1997</v>
      </c>
      <c r="S4" s="15">
        <v>1999</v>
      </c>
      <c r="T4" s="15">
        <v>2001</v>
      </c>
      <c r="U4" s="15">
        <v>2003</v>
      </c>
      <c r="V4" s="15">
        <v>2005</v>
      </c>
    </row>
    <row r="5" spans="1:22" ht="12.75">
      <c r="A5" s="4" t="s">
        <v>76</v>
      </c>
      <c r="B5" s="9">
        <v>1628</v>
      </c>
      <c r="C5" s="9">
        <v>1173</v>
      </c>
      <c r="D5" s="9">
        <v>1267</v>
      </c>
      <c r="E5" s="9">
        <v>1277</v>
      </c>
      <c r="F5" s="9">
        <v>1308</v>
      </c>
      <c r="G5" s="9">
        <v>1285</v>
      </c>
      <c r="H5" s="9">
        <v>1287</v>
      </c>
      <c r="I5" s="9">
        <v>1313</v>
      </c>
      <c r="J5" s="9">
        <v>1326</v>
      </c>
      <c r="K5" s="9">
        <v>1401</v>
      </c>
      <c r="L5" s="9">
        <v>2032</v>
      </c>
      <c r="M5" s="9">
        <v>2065</v>
      </c>
      <c r="N5" s="9">
        <v>2229</v>
      </c>
      <c r="O5" s="9">
        <v>2526</v>
      </c>
      <c r="P5" s="9">
        <v>2414</v>
      </c>
      <c r="Q5" s="9">
        <v>2344</v>
      </c>
      <c r="R5" s="10">
        <v>2171</v>
      </c>
      <c r="S5" s="10">
        <v>2100</v>
      </c>
      <c r="T5" s="10">
        <v>2201</v>
      </c>
      <c r="U5" s="10">
        <v>2218</v>
      </c>
      <c r="V5" s="10">
        <v>2134</v>
      </c>
    </row>
    <row r="6" spans="1:28" ht="12.75">
      <c r="A6" s="25" t="s">
        <v>255</v>
      </c>
      <c r="B6" s="9">
        <v>1855</v>
      </c>
      <c r="C6" s="9">
        <v>1943</v>
      </c>
      <c r="D6" s="9">
        <v>1710</v>
      </c>
      <c r="E6" s="9">
        <v>1567</v>
      </c>
      <c r="F6" s="9">
        <v>1461</v>
      </c>
      <c r="G6" s="9">
        <v>1337</v>
      </c>
      <c r="H6" s="9">
        <v>1249</v>
      </c>
      <c r="I6" s="9">
        <v>1231</v>
      </c>
      <c r="J6" s="9">
        <v>1131</v>
      </c>
      <c r="K6" s="9">
        <v>1077</v>
      </c>
      <c r="L6" s="9">
        <v>1219</v>
      </c>
      <c r="M6" s="9">
        <v>1123</v>
      </c>
      <c r="N6" s="9">
        <v>1373</v>
      </c>
      <c r="O6" s="9">
        <v>1251</v>
      </c>
      <c r="P6" s="9">
        <v>1045</v>
      </c>
      <c r="Q6" s="9">
        <v>1129</v>
      </c>
      <c r="R6" s="9">
        <v>1567</v>
      </c>
      <c r="S6" s="9">
        <v>1496</v>
      </c>
      <c r="T6" s="9">
        <v>1447</v>
      </c>
      <c r="U6" s="9">
        <v>1356</v>
      </c>
      <c r="V6" s="9">
        <v>1178</v>
      </c>
      <c r="X6" s="9">
        <f>B6</f>
        <v>1855</v>
      </c>
      <c r="Y6" s="9">
        <f>C6</f>
        <v>1943</v>
      </c>
      <c r="Z6" s="9">
        <f>D6</f>
        <v>1710</v>
      </c>
      <c r="AA6" s="9">
        <f>E6</f>
        <v>1567</v>
      </c>
      <c r="AB6" s="9">
        <f>F6</f>
        <v>1461</v>
      </c>
    </row>
    <row r="7" spans="1:28" ht="12.75">
      <c r="A7" s="4" t="s">
        <v>190</v>
      </c>
      <c r="B7" s="9">
        <v>3849</v>
      </c>
      <c r="C7" s="9">
        <v>3803</v>
      </c>
      <c r="D7" s="9">
        <v>3599</v>
      </c>
      <c r="E7" s="9">
        <v>3529</v>
      </c>
      <c r="F7" s="9">
        <v>3229</v>
      </c>
      <c r="G7" s="9">
        <v>3277</v>
      </c>
      <c r="H7" s="9">
        <v>2962</v>
      </c>
      <c r="I7" s="9">
        <v>2833</v>
      </c>
      <c r="J7" s="9">
        <v>2852</v>
      </c>
      <c r="K7" s="9">
        <v>2792</v>
      </c>
      <c r="L7" s="9">
        <v>3012</v>
      </c>
      <c r="M7" s="9">
        <v>2634</v>
      </c>
      <c r="N7" s="9">
        <v>3218</v>
      </c>
      <c r="O7" s="9">
        <v>2735</v>
      </c>
      <c r="P7" s="9">
        <v>2848</v>
      </c>
      <c r="Q7" s="9">
        <v>2741</v>
      </c>
      <c r="R7" s="9">
        <v>2900</v>
      </c>
      <c r="S7" s="9">
        <v>3122</v>
      </c>
      <c r="T7" s="9">
        <v>2850</v>
      </c>
      <c r="U7" s="9">
        <v>2542</v>
      </c>
      <c r="V7" s="9">
        <v>2359</v>
      </c>
      <c r="X7" s="9">
        <f>X6+B6</f>
        <v>3710</v>
      </c>
      <c r="Y7" s="9">
        <f aca="true" t="shared" si="0" ref="Y7:AB11">Y6+C6</f>
        <v>3886</v>
      </c>
      <c r="Z7" s="9">
        <f t="shared" si="0"/>
        <v>3420</v>
      </c>
      <c r="AA7" s="9">
        <f t="shared" si="0"/>
        <v>3134</v>
      </c>
      <c r="AB7" s="9">
        <f t="shared" si="0"/>
        <v>2922</v>
      </c>
    </row>
    <row r="8" spans="1:28" ht="12.75">
      <c r="A8" s="4" t="s">
        <v>200</v>
      </c>
      <c r="B8" s="9">
        <v>4238</v>
      </c>
      <c r="C8" s="9">
        <v>4240</v>
      </c>
      <c r="D8" s="9">
        <v>4095</v>
      </c>
      <c r="E8" s="9">
        <v>4146</v>
      </c>
      <c r="F8" s="9">
        <v>4152</v>
      </c>
      <c r="G8" s="9">
        <v>4081</v>
      </c>
      <c r="H8" s="9">
        <v>4109</v>
      </c>
      <c r="I8" s="9">
        <v>4015</v>
      </c>
      <c r="J8" s="9">
        <v>4084</v>
      </c>
      <c r="K8" s="9">
        <v>3815</v>
      </c>
      <c r="L8" s="9">
        <v>4300</v>
      </c>
      <c r="M8" s="9">
        <v>3891</v>
      </c>
      <c r="N8" s="9">
        <v>4451</v>
      </c>
      <c r="O8" s="9">
        <v>4265</v>
      </c>
      <c r="P8" s="9">
        <v>4083</v>
      </c>
      <c r="Q8" s="9">
        <v>4035</v>
      </c>
      <c r="R8" s="9">
        <v>4139</v>
      </c>
      <c r="S8" s="9">
        <v>4226</v>
      </c>
      <c r="T8" s="9">
        <v>3966</v>
      </c>
      <c r="U8" s="9">
        <v>3521</v>
      </c>
      <c r="V8" s="9">
        <v>3462</v>
      </c>
      <c r="X8" s="9">
        <f>X7+B7</f>
        <v>7559</v>
      </c>
      <c r="Y8" s="9">
        <f t="shared" si="0"/>
        <v>7689</v>
      </c>
      <c r="Z8" s="9">
        <f t="shared" si="0"/>
        <v>7019</v>
      </c>
      <c r="AA8" s="9">
        <f t="shared" si="0"/>
        <v>6663</v>
      </c>
      <c r="AB8" s="9">
        <f t="shared" si="0"/>
        <v>6151</v>
      </c>
    </row>
    <row r="9" spans="1:28" ht="12.75">
      <c r="A9" s="4" t="s">
        <v>191</v>
      </c>
      <c r="B9" s="9">
        <v>3322</v>
      </c>
      <c r="C9" s="9">
        <v>3337</v>
      </c>
      <c r="D9" s="9">
        <v>3572</v>
      </c>
      <c r="E9" s="9">
        <v>3572</v>
      </c>
      <c r="F9" s="9">
        <v>3664</v>
      </c>
      <c r="G9" s="9">
        <v>3819</v>
      </c>
      <c r="H9" s="9">
        <v>3840</v>
      </c>
      <c r="I9" s="9">
        <v>3817</v>
      </c>
      <c r="J9" s="9">
        <v>4128</v>
      </c>
      <c r="K9" s="9">
        <v>3912</v>
      </c>
      <c r="L9" s="9">
        <v>4418</v>
      </c>
      <c r="M9" s="9">
        <v>4107</v>
      </c>
      <c r="N9" s="9">
        <v>4620</v>
      </c>
      <c r="O9" s="9">
        <v>4225</v>
      </c>
      <c r="P9" s="9">
        <v>4114</v>
      </c>
      <c r="Q9" s="9">
        <v>4144</v>
      </c>
      <c r="R9" s="9">
        <v>4095</v>
      </c>
      <c r="S9" s="9">
        <v>4235</v>
      </c>
      <c r="T9" s="9">
        <v>4072</v>
      </c>
      <c r="U9" s="9">
        <v>4030</v>
      </c>
      <c r="V9" s="9">
        <v>3658</v>
      </c>
      <c r="X9" s="9">
        <f>X8+B8</f>
        <v>11797</v>
      </c>
      <c r="Y9" s="9">
        <f t="shared" si="0"/>
        <v>11929</v>
      </c>
      <c r="Z9" s="9">
        <f t="shared" si="0"/>
        <v>11114</v>
      </c>
      <c r="AA9" s="9">
        <f t="shared" si="0"/>
        <v>10809</v>
      </c>
      <c r="AB9" s="9">
        <f t="shared" si="0"/>
        <v>10303</v>
      </c>
    </row>
    <row r="10" spans="1:28" ht="12.75">
      <c r="A10" s="25" t="s">
        <v>256</v>
      </c>
      <c r="B10" s="9">
        <v>3706</v>
      </c>
      <c r="C10" s="9">
        <v>3885</v>
      </c>
      <c r="D10" s="9">
        <v>3990</v>
      </c>
      <c r="E10" s="9">
        <v>4301</v>
      </c>
      <c r="F10" s="9">
        <v>4476</v>
      </c>
      <c r="G10" s="9">
        <v>4695</v>
      </c>
      <c r="H10" s="9">
        <v>4974</v>
      </c>
      <c r="I10" s="9">
        <v>4913</v>
      </c>
      <c r="J10" s="9">
        <v>5229</v>
      </c>
      <c r="K10" s="9">
        <v>5699</v>
      </c>
      <c r="L10" s="9">
        <v>6317</v>
      </c>
      <c r="M10" s="9">
        <v>6836</v>
      </c>
      <c r="N10" s="9">
        <v>7038</v>
      </c>
      <c r="O10" s="9">
        <v>6788</v>
      </c>
      <c r="P10" s="9">
        <v>6694</v>
      </c>
      <c r="Q10" s="9">
        <v>6924</v>
      </c>
      <c r="R10" s="9">
        <v>6211</v>
      </c>
      <c r="S10" s="9">
        <v>6394</v>
      </c>
      <c r="T10" s="9">
        <v>6282</v>
      </c>
      <c r="U10" s="9">
        <v>6392</v>
      </c>
      <c r="V10" s="9">
        <v>6601</v>
      </c>
      <c r="X10" s="9">
        <f>X9+B9</f>
        <v>15119</v>
      </c>
      <c r="Y10" s="9">
        <f t="shared" si="0"/>
        <v>15266</v>
      </c>
      <c r="Z10" s="9">
        <f t="shared" si="0"/>
        <v>14686</v>
      </c>
      <c r="AA10" s="9">
        <f t="shared" si="0"/>
        <v>14381</v>
      </c>
      <c r="AB10" s="9">
        <f t="shared" si="0"/>
        <v>13967</v>
      </c>
    </row>
    <row r="11" spans="1:28" ht="12.75">
      <c r="A11" s="25" t="s">
        <v>328</v>
      </c>
      <c r="B11" s="9">
        <v>5468</v>
      </c>
      <c r="C11" s="9">
        <v>5781</v>
      </c>
      <c r="D11" s="9">
        <v>6556</v>
      </c>
      <c r="E11" s="9">
        <v>6866</v>
      </c>
      <c r="F11" s="9">
        <v>7383</v>
      </c>
      <c r="G11" s="9">
        <v>7622</v>
      </c>
      <c r="H11" s="9">
        <v>7956</v>
      </c>
      <c r="I11" s="9">
        <v>8482</v>
      </c>
      <c r="J11" s="9">
        <v>9117</v>
      </c>
      <c r="K11" s="9">
        <v>10236</v>
      </c>
      <c r="L11" s="9">
        <v>10317</v>
      </c>
      <c r="M11" s="9">
        <v>11708</v>
      </c>
      <c r="N11" s="9">
        <v>10410</v>
      </c>
      <c r="O11" s="9">
        <v>11014</v>
      </c>
      <c r="P11" s="9">
        <v>11766</v>
      </c>
      <c r="Q11" s="9">
        <v>12158</v>
      </c>
      <c r="R11" s="9">
        <v>11877</v>
      </c>
      <c r="S11" s="9">
        <v>11354</v>
      </c>
      <c r="T11" s="9">
        <v>11845</v>
      </c>
      <c r="U11" s="9">
        <v>12284</v>
      </c>
      <c r="V11" s="9">
        <v>13556</v>
      </c>
      <c r="X11" s="9">
        <f>X10+B10</f>
        <v>18825</v>
      </c>
      <c r="Y11" s="9">
        <f t="shared" si="0"/>
        <v>19151</v>
      </c>
      <c r="Z11" s="9">
        <f t="shared" si="0"/>
        <v>18676</v>
      </c>
      <c r="AA11" s="9">
        <f t="shared" si="0"/>
        <v>18682</v>
      </c>
      <c r="AB11" s="9">
        <f t="shared" si="0"/>
        <v>18443</v>
      </c>
    </row>
    <row r="12" spans="1:28" ht="12.75">
      <c r="A12" s="4" t="s">
        <v>248</v>
      </c>
      <c r="B12" s="9">
        <v>1910</v>
      </c>
      <c r="C12" s="9">
        <v>1304</v>
      </c>
      <c r="D12" s="9">
        <v>1437</v>
      </c>
      <c r="E12" s="9">
        <v>1438</v>
      </c>
      <c r="F12" s="9">
        <v>1450</v>
      </c>
      <c r="G12" s="9">
        <v>1414</v>
      </c>
      <c r="H12" s="9">
        <v>1459</v>
      </c>
      <c r="I12" s="9">
        <v>1583</v>
      </c>
      <c r="J12" s="9">
        <v>1581</v>
      </c>
      <c r="K12" s="9">
        <v>1682</v>
      </c>
      <c r="L12" s="9">
        <v>663</v>
      </c>
      <c r="M12" s="9">
        <v>360</v>
      </c>
      <c r="N12" s="9">
        <v>430</v>
      </c>
      <c r="O12" s="9">
        <v>547</v>
      </c>
      <c r="P12" s="9">
        <v>507</v>
      </c>
      <c r="Q12" s="9">
        <v>674</v>
      </c>
      <c r="R12" s="9">
        <v>1041</v>
      </c>
      <c r="S12" s="9">
        <v>1079</v>
      </c>
      <c r="T12" s="9">
        <v>1334</v>
      </c>
      <c r="U12" s="9">
        <v>1261</v>
      </c>
      <c r="V12" s="9">
        <v>993</v>
      </c>
      <c r="X12" s="9">
        <f>X11/2</f>
        <v>9412.5</v>
      </c>
      <c r="Y12" s="9">
        <f>Y11/2</f>
        <v>9575.5</v>
      </c>
      <c r="Z12" s="9">
        <f>Z11/2</f>
        <v>9338</v>
      </c>
      <c r="AA12" s="9">
        <f>AA11/2</f>
        <v>9341</v>
      </c>
      <c r="AB12" s="9">
        <f>AB11/2</f>
        <v>9221.5</v>
      </c>
    </row>
    <row r="13" spans="1:28" ht="12.75">
      <c r="A13" s="25" t="s">
        <v>376</v>
      </c>
      <c r="B13" s="9">
        <f>B3-SUM(B5:B12)</f>
        <v>-1292</v>
      </c>
      <c r="C13" s="9">
        <f aca="true" t="shared" si="1" ref="C13:V13">C3-SUM(C5:C12)</f>
        <v>-420</v>
      </c>
      <c r="D13" s="9">
        <f t="shared" si="1"/>
        <v>-570</v>
      </c>
      <c r="E13" s="9">
        <f t="shared" si="1"/>
        <v>-595</v>
      </c>
      <c r="F13" s="9">
        <f t="shared" si="1"/>
        <v>-608</v>
      </c>
      <c r="G13" s="9">
        <f t="shared" si="1"/>
        <v>-646</v>
      </c>
      <c r="H13" s="9">
        <f t="shared" si="1"/>
        <v>-676</v>
      </c>
      <c r="I13" s="9">
        <f t="shared" si="1"/>
        <v>-631</v>
      </c>
      <c r="J13" s="9">
        <f t="shared" si="1"/>
        <v>-615</v>
      </c>
      <c r="K13" s="9">
        <f t="shared" si="1"/>
        <v>-700</v>
      </c>
      <c r="L13" s="9">
        <f t="shared" si="1"/>
        <v>2</v>
      </c>
      <c r="M13" s="9">
        <f t="shared" si="1"/>
        <v>0</v>
      </c>
      <c r="N13" s="9">
        <f t="shared" si="1"/>
        <v>-2</v>
      </c>
      <c r="O13" s="9">
        <f t="shared" si="1"/>
        <v>0</v>
      </c>
      <c r="P13" s="9">
        <f t="shared" si="1"/>
        <v>1</v>
      </c>
      <c r="Q13" s="9">
        <f t="shared" si="1"/>
        <v>1</v>
      </c>
      <c r="R13" s="9">
        <f t="shared" si="1"/>
        <v>-1</v>
      </c>
      <c r="S13" s="9">
        <f t="shared" si="1"/>
        <v>1</v>
      </c>
      <c r="T13" s="9">
        <f t="shared" si="1"/>
        <v>-1</v>
      </c>
      <c r="U13" s="9">
        <f t="shared" si="1"/>
        <v>0</v>
      </c>
      <c r="V13" s="9">
        <f t="shared" si="1"/>
        <v>-1</v>
      </c>
      <c r="X13" s="9">
        <f>20+5*(X12-X8)/(X9-X8)</f>
        <v>22.18676262387919</v>
      </c>
      <c r="Y13" s="9">
        <f>20+5*(Y12-Y8)/(Y9-Y8)</f>
        <v>22.224646226415093</v>
      </c>
      <c r="Z13" s="9">
        <f>20+5*(Z12-Z8)/(Z9-Z8)</f>
        <v>22.831501831501832</v>
      </c>
      <c r="AA13" s="9">
        <f>20+5*(AA12-AA8)/(AA9-AA8)</f>
        <v>23.22961890979257</v>
      </c>
      <c r="AB13" s="9">
        <f>20+5*(AB12-AB8)/(AB9-AB8)</f>
        <v>23.697615606936417</v>
      </c>
    </row>
    <row r="14" spans="1:28" ht="12.75">
      <c r="A14" s="25" t="s">
        <v>86</v>
      </c>
      <c r="B14" s="38">
        <v>0.2218676262387919</v>
      </c>
      <c r="C14" s="38">
        <v>0.22224646226415093</v>
      </c>
      <c r="D14" s="38">
        <v>0.23</v>
      </c>
      <c r="E14" s="38">
        <v>0.24</v>
      </c>
      <c r="F14" s="38">
        <v>0.25</v>
      </c>
      <c r="G14" s="38">
        <v>0.25</v>
      </c>
      <c r="H14" s="38">
        <v>0.26</v>
      </c>
      <c r="I14" s="38">
        <v>0.27</v>
      </c>
      <c r="J14" s="38">
        <v>0.27</v>
      </c>
      <c r="K14" s="38">
        <v>0.29</v>
      </c>
      <c r="L14" s="38">
        <v>0.27</v>
      </c>
      <c r="M14" s="38">
        <v>0.29</v>
      </c>
      <c r="N14" s="38">
        <v>0.27</v>
      </c>
      <c r="O14" s="38">
        <v>0.27</v>
      </c>
      <c r="P14" s="38">
        <v>0.28</v>
      </c>
      <c r="Q14" s="38">
        <v>0.28</v>
      </c>
      <c r="R14" s="38">
        <v>0.27</v>
      </c>
      <c r="S14" s="38">
        <v>0.27</v>
      </c>
      <c r="T14" s="38">
        <v>0.27</v>
      </c>
      <c r="U14" s="38">
        <v>0.28</v>
      </c>
      <c r="V14" s="38">
        <v>0.29</v>
      </c>
      <c r="X14" s="96">
        <f>X13/100</f>
        <v>0.2218676262387919</v>
      </c>
      <c r="Y14" s="96">
        <f>Y13/100</f>
        <v>0.22224646226415093</v>
      </c>
      <c r="Z14" s="96">
        <f>Z13/100</f>
        <v>0.22831501831501833</v>
      </c>
      <c r="AA14" s="96">
        <f>AA13/100</f>
        <v>0.2322961890979257</v>
      </c>
      <c r="AB14" s="96">
        <f>AB13/100</f>
        <v>0.23697615606936417</v>
      </c>
    </row>
    <row r="15" spans="1:22" ht="12.75">
      <c r="A15" s="25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s="41" customFormat="1" ht="12.75">
      <c r="A16" s="4" t="s">
        <v>76</v>
      </c>
      <c r="B16" s="93">
        <f>B5/SUM(B$5:B$11)</f>
        <v>0.0676473032493975</v>
      </c>
      <c r="C16" s="93">
        <f aca="true" t="shared" si="2" ref="C16:V16">C5/SUM(C$5:C$11)</f>
        <v>0.04854730568661535</v>
      </c>
      <c r="D16" s="93">
        <f t="shared" si="2"/>
        <v>0.05111138004760176</v>
      </c>
      <c r="E16" s="93">
        <f t="shared" si="2"/>
        <v>0.050558238973790484</v>
      </c>
      <c r="F16" s="93">
        <f t="shared" si="2"/>
        <v>0.050948467261325125</v>
      </c>
      <c r="G16" s="93">
        <f t="shared" si="2"/>
        <v>0.04920355337724001</v>
      </c>
      <c r="H16" s="93">
        <f t="shared" si="2"/>
        <v>0.04879250862493839</v>
      </c>
      <c r="I16" s="93">
        <f t="shared" si="2"/>
        <v>0.04935348067959705</v>
      </c>
      <c r="J16" s="93">
        <f t="shared" si="2"/>
        <v>0.047583162880826785</v>
      </c>
      <c r="K16" s="93">
        <f t="shared" si="2"/>
        <v>0.04842389050186645</v>
      </c>
      <c r="L16" s="93">
        <f t="shared" si="2"/>
        <v>0.06427328799620434</v>
      </c>
      <c r="M16" s="93">
        <f t="shared" si="2"/>
        <v>0.06380546285996787</v>
      </c>
      <c r="N16" s="93">
        <f t="shared" si="2"/>
        <v>0.06685863403221452</v>
      </c>
      <c r="O16" s="93">
        <f t="shared" si="2"/>
        <v>0.07700280453603219</v>
      </c>
      <c r="P16" s="93">
        <f t="shared" si="2"/>
        <v>0.07323140395583061</v>
      </c>
      <c r="Q16" s="93">
        <f t="shared" si="2"/>
        <v>0.07002240477968634</v>
      </c>
      <c r="R16" s="93">
        <f t="shared" si="2"/>
        <v>0.06586771844660194</v>
      </c>
      <c r="S16" s="93">
        <f t="shared" si="2"/>
        <v>0.06377744707990403</v>
      </c>
      <c r="T16" s="93">
        <f t="shared" si="2"/>
        <v>0.06738511465572666</v>
      </c>
      <c r="U16" s="93">
        <f t="shared" si="2"/>
        <v>0.06857743561203351</v>
      </c>
      <c r="V16" s="93">
        <f t="shared" si="2"/>
        <v>0.06476872647808668</v>
      </c>
    </row>
    <row r="17" spans="1:22" ht="12.75">
      <c r="A17" s="25" t="s">
        <v>255</v>
      </c>
      <c r="B17" s="93">
        <f aca="true" t="shared" si="3" ref="B17:V17">B6/SUM(B$5:B$11)</f>
        <v>0.07707969749854567</v>
      </c>
      <c r="C17" s="93">
        <f t="shared" si="3"/>
        <v>0.08041552851585133</v>
      </c>
      <c r="D17" s="93">
        <f t="shared" si="3"/>
        <v>0.06898220985114366</v>
      </c>
      <c r="E17" s="93">
        <f t="shared" si="3"/>
        <v>0.06203974978224721</v>
      </c>
      <c r="F17" s="93">
        <f t="shared" si="3"/>
        <v>0.056908035679507654</v>
      </c>
      <c r="G17" s="93">
        <f t="shared" si="3"/>
        <v>0.05119466993413999</v>
      </c>
      <c r="H17" s="93">
        <f t="shared" si="3"/>
        <v>0.04735185957462941</v>
      </c>
      <c r="I17" s="93">
        <f t="shared" si="3"/>
        <v>0.04627123740790859</v>
      </c>
      <c r="J17" s="93">
        <f t="shared" si="3"/>
        <v>0.04058563892776402</v>
      </c>
      <c r="K17" s="93">
        <f t="shared" si="3"/>
        <v>0.03722521775197014</v>
      </c>
      <c r="L17" s="93">
        <f t="shared" si="3"/>
        <v>0.03855764668669935</v>
      </c>
      <c r="M17" s="93">
        <f t="shared" si="3"/>
        <v>0.034699048325299714</v>
      </c>
      <c r="N17" s="93">
        <f t="shared" si="3"/>
        <v>0.04118299889018867</v>
      </c>
      <c r="O17" s="93">
        <f t="shared" si="3"/>
        <v>0.038135593220338986</v>
      </c>
      <c r="P17" s="93">
        <f t="shared" si="3"/>
        <v>0.03170124984831938</v>
      </c>
      <c r="Q17" s="93">
        <f t="shared" si="3"/>
        <v>0.03372666168782674</v>
      </c>
      <c r="R17" s="93">
        <f t="shared" si="3"/>
        <v>0.04754247572815534</v>
      </c>
      <c r="S17" s="93">
        <f t="shared" si="3"/>
        <v>0.04543383849120782</v>
      </c>
      <c r="T17" s="93">
        <f t="shared" si="3"/>
        <v>0.04430089091632734</v>
      </c>
      <c r="U17" s="93">
        <f t="shared" si="3"/>
        <v>0.041925609869214356</v>
      </c>
      <c r="V17" s="93">
        <f t="shared" si="3"/>
        <v>0.03575330824329246</v>
      </c>
    </row>
    <row r="18" spans="1:22" ht="12.75">
      <c r="A18" s="4" t="s">
        <v>190</v>
      </c>
      <c r="B18" s="93">
        <f aca="true" t="shared" si="4" ref="B18:V18">B7/SUM(B$5:B$11)</f>
        <v>0.1599351782597856</v>
      </c>
      <c r="C18" s="93">
        <f t="shared" si="4"/>
        <v>0.1573959109345253</v>
      </c>
      <c r="D18" s="93">
        <f t="shared" si="4"/>
        <v>0.14518536447617894</v>
      </c>
      <c r="E18" s="93">
        <f t="shared" si="4"/>
        <v>0.13971810911394408</v>
      </c>
      <c r="F18" s="93">
        <f t="shared" si="4"/>
        <v>0.1257741596229502</v>
      </c>
      <c r="G18" s="93">
        <f t="shared" si="4"/>
        <v>0.12547863378771634</v>
      </c>
      <c r="H18" s="93">
        <f t="shared" si="4"/>
        <v>0.11229480228987375</v>
      </c>
      <c r="I18" s="93">
        <f t="shared" si="4"/>
        <v>0.10648774620357841</v>
      </c>
      <c r="J18" s="93">
        <f t="shared" si="4"/>
        <v>0.1023432734058205</v>
      </c>
      <c r="K18" s="93">
        <f t="shared" si="4"/>
        <v>0.09650214295589658</v>
      </c>
      <c r="L18" s="93">
        <f t="shared" si="4"/>
        <v>0.09527123201012178</v>
      </c>
      <c r="M18" s="93">
        <f t="shared" si="4"/>
        <v>0.08138672599184278</v>
      </c>
      <c r="N18" s="93">
        <f t="shared" si="4"/>
        <v>0.09652359098953178</v>
      </c>
      <c r="O18" s="93">
        <f t="shared" si="4"/>
        <v>0.08337397878307523</v>
      </c>
      <c r="P18" s="93">
        <f t="shared" si="4"/>
        <v>0.08639728188326659</v>
      </c>
      <c r="Q18" s="93">
        <f t="shared" si="4"/>
        <v>0.08188200149365198</v>
      </c>
      <c r="R18" s="93">
        <f t="shared" si="4"/>
        <v>0.08798543689320389</v>
      </c>
      <c r="S18" s="93">
        <f t="shared" si="4"/>
        <v>0.09481580465879066</v>
      </c>
      <c r="T18" s="93">
        <f t="shared" si="4"/>
        <v>0.0872546918531672</v>
      </c>
      <c r="U18" s="93">
        <f t="shared" si="4"/>
        <v>0.07859505920910244</v>
      </c>
      <c r="V18" s="93">
        <f t="shared" si="4"/>
        <v>0.07159766905426733</v>
      </c>
    </row>
    <row r="19" spans="1:22" ht="12.75">
      <c r="A19" s="4" t="s">
        <v>200</v>
      </c>
      <c r="B19" s="93">
        <f aca="true" t="shared" si="5" ref="B19:V19">B8/SUM(B$5:B$11)</f>
        <v>0.17609906091581484</v>
      </c>
      <c r="C19" s="93">
        <f t="shared" si="5"/>
        <v>0.1754821620726761</v>
      </c>
      <c r="D19" s="93">
        <f t="shared" si="5"/>
        <v>0.16519423938037034</v>
      </c>
      <c r="E19" s="93">
        <f t="shared" si="5"/>
        <v>0.16414601314435032</v>
      </c>
      <c r="F19" s="93">
        <f t="shared" si="5"/>
        <v>0.16172632726989444</v>
      </c>
      <c r="G19" s="93">
        <f t="shared" si="5"/>
        <v>0.1562643590136315</v>
      </c>
      <c r="H19" s="93">
        <f t="shared" si="5"/>
        <v>0.15577965651893697</v>
      </c>
      <c r="I19" s="93">
        <f t="shared" si="5"/>
        <v>0.15091715531499023</v>
      </c>
      <c r="J19" s="93">
        <f t="shared" si="5"/>
        <v>0.14655327089388884</v>
      </c>
      <c r="K19" s="93">
        <f t="shared" si="5"/>
        <v>0.13186091524955068</v>
      </c>
      <c r="L19" s="93">
        <f t="shared" si="5"/>
        <v>0.13601138699984186</v>
      </c>
      <c r="M19" s="93">
        <f t="shared" si="5"/>
        <v>0.12022617723396366</v>
      </c>
      <c r="N19" s="93">
        <f t="shared" si="5"/>
        <v>0.1335073037583611</v>
      </c>
      <c r="O19" s="93">
        <f t="shared" si="5"/>
        <v>0.13001463236190708</v>
      </c>
      <c r="P19" s="93">
        <f t="shared" si="5"/>
        <v>0.12386239534037131</v>
      </c>
      <c r="Q19" s="93">
        <f t="shared" si="5"/>
        <v>0.12053771471247199</v>
      </c>
      <c r="R19" s="93">
        <f t="shared" si="5"/>
        <v>0.12557645631067962</v>
      </c>
      <c r="S19" s="93">
        <f t="shared" si="5"/>
        <v>0.12834451969508306</v>
      </c>
      <c r="T19" s="93">
        <f t="shared" si="5"/>
        <v>0.12142179224198635</v>
      </c>
      <c r="U19" s="93">
        <f t="shared" si="5"/>
        <v>0.10886436013975204</v>
      </c>
      <c r="V19" s="93">
        <f t="shared" si="5"/>
        <v>0.10507466310549958</v>
      </c>
    </row>
    <row r="20" spans="1:22" ht="12.75">
      <c r="A20" s="4" t="s">
        <v>191</v>
      </c>
      <c r="B20" s="93">
        <f aca="true" t="shared" si="6" ref="B20:V20">B9/SUM(B$5:B$11)</f>
        <v>0.13803706473863542</v>
      </c>
      <c r="C20" s="93">
        <f t="shared" si="6"/>
        <v>0.13810942802748116</v>
      </c>
      <c r="D20" s="93">
        <f t="shared" si="6"/>
        <v>0.14409617168905564</v>
      </c>
      <c r="E20" s="93">
        <f t="shared" si="6"/>
        <v>0.14142054002692217</v>
      </c>
      <c r="F20" s="93">
        <f t="shared" si="6"/>
        <v>0.14271803061582208</v>
      </c>
      <c r="G20" s="93">
        <f t="shared" si="6"/>
        <v>0.14623219482309696</v>
      </c>
      <c r="H20" s="93">
        <f t="shared" si="6"/>
        <v>0.1455813777154339</v>
      </c>
      <c r="I20" s="93">
        <f t="shared" si="6"/>
        <v>0.14347466546384002</v>
      </c>
      <c r="J20" s="93">
        <f t="shared" si="6"/>
        <v>0.14813219937560557</v>
      </c>
      <c r="K20" s="93">
        <f t="shared" si="6"/>
        <v>0.13521360431356283</v>
      </c>
      <c r="L20" s="93">
        <f t="shared" si="6"/>
        <v>0.13974379250355845</v>
      </c>
      <c r="M20" s="93">
        <f t="shared" si="6"/>
        <v>0.12690025954764553</v>
      </c>
      <c r="N20" s="93">
        <f t="shared" si="6"/>
        <v>0.13857644200485916</v>
      </c>
      <c r="O20" s="93">
        <f t="shared" si="6"/>
        <v>0.12879526886965004</v>
      </c>
      <c r="P20" s="93">
        <f t="shared" si="6"/>
        <v>0.12480281519233102</v>
      </c>
      <c r="Q20" s="93">
        <f t="shared" si="6"/>
        <v>0.12379387602688574</v>
      </c>
      <c r="R20" s="93">
        <f t="shared" si="6"/>
        <v>0.12424150485436893</v>
      </c>
      <c r="S20" s="93">
        <f t="shared" si="6"/>
        <v>0.12861785161113978</v>
      </c>
      <c r="T20" s="93">
        <f t="shared" si="6"/>
        <v>0.12466705446529712</v>
      </c>
      <c r="U20" s="93">
        <f t="shared" si="6"/>
        <v>0.12460192313638191</v>
      </c>
      <c r="V20" s="93">
        <f t="shared" si="6"/>
        <v>0.11102343086075027</v>
      </c>
    </row>
    <row r="21" spans="1:22" ht="12.75">
      <c r="A21" s="25" t="s">
        <v>256</v>
      </c>
      <c r="B21" s="93">
        <f aca="true" t="shared" si="7" ref="B21:V21">B10/SUM(B$5:B$11)</f>
        <v>0.15399318540679796</v>
      </c>
      <c r="C21" s="93">
        <f t="shared" si="7"/>
        <v>0.16078966972932704</v>
      </c>
      <c r="D21" s="93">
        <f t="shared" si="7"/>
        <v>0.1609584896526685</v>
      </c>
      <c r="E21" s="93">
        <f t="shared" si="7"/>
        <v>0.1702826827143875</v>
      </c>
      <c r="F21" s="93">
        <f t="shared" si="7"/>
        <v>0.17434658980251627</v>
      </c>
      <c r="G21" s="93">
        <f t="shared" si="7"/>
        <v>0.17977485066625823</v>
      </c>
      <c r="H21" s="93">
        <f t="shared" si="7"/>
        <v>0.18857337832202298</v>
      </c>
      <c r="I21" s="93">
        <f t="shared" si="7"/>
        <v>0.1846714779732371</v>
      </c>
      <c r="J21" s="93">
        <f t="shared" si="7"/>
        <v>0.18764129615674455</v>
      </c>
      <c r="K21" s="93">
        <f t="shared" si="7"/>
        <v>0.19697912346191068</v>
      </c>
      <c r="L21" s="93">
        <f t="shared" si="7"/>
        <v>0.19981021666930254</v>
      </c>
      <c r="M21" s="93">
        <f t="shared" si="7"/>
        <v>0.21122234581633914</v>
      </c>
      <c r="N21" s="93">
        <f t="shared" si="7"/>
        <v>0.21110411230090884</v>
      </c>
      <c r="O21" s="93">
        <f t="shared" si="7"/>
        <v>0.20692598463602</v>
      </c>
      <c r="P21" s="93">
        <f t="shared" si="7"/>
        <v>0.20307001577478462</v>
      </c>
      <c r="Q21" s="93">
        <f t="shared" si="7"/>
        <v>0.20684092606422705</v>
      </c>
      <c r="R21" s="93">
        <f t="shared" si="7"/>
        <v>0.18844053398058253</v>
      </c>
      <c r="S21" s="93">
        <f t="shared" si="7"/>
        <v>0.19418714125186018</v>
      </c>
      <c r="T21" s="93">
        <f t="shared" si="7"/>
        <v>0.19232771025319167</v>
      </c>
      <c r="U21" s="93">
        <f t="shared" si="7"/>
        <v>0.19763163590266827</v>
      </c>
      <c r="V21" s="93">
        <f t="shared" si="7"/>
        <v>0.20034599975719317</v>
      </c>
    </row>
    <row r="22" spans="1:22" ht="12.75">
      <c r="A22" s="25" t="s">
        <v>328</v>
      </c>
      <c r="B22" s="93">
        <f aca="true" t="shared" si="8" ref="B22:V22">B11/SUM(B$5:B$11)</f>
        <v>0.227208509931023</v>
      </c>
      <c r="C22" s="93">
        <f t="shared" si="8"/>
        <v>0.23925999503352371</v>
      </c>
      <c r="D22" s="93">
        <f t="shared" si="8"/>
        <v>0.26447214490298115</v>
      </c>
      <c r="E22" s="93">
        <f t="shared" si="8"/>
        <v>0.2718346662443582</v>
      </c>
      <c r="F22" s="93">
        <f t="shared" si="8"/>
        <v>0.2875783897479843</v>
      </c>
      <c r="G22" s="93">
        <f t="shared" si="8"/>
        <v>0.291851738397917</v>
      </c>
      <c r="H22" s="93">
        <f t="shared" si="8"/>
        <v>0.3016264169541646</v>
      </c>
      <c r="I22" s="93">
        <f t="shared" si="8"/>
        <v>0.3188242369568486</v>
      </c>
      <c r="J22" s="93">
        <f t="shared" si="8"/>
        <v>0.3271611583593498</v>
      </c>
      <c r="K22" s="93">
        <f t="shared" si="8"/>
        <v>0.35379510576524265</v>
      </c>
      <c r="L22" s="93">
        <f t="shared" si="8"/>
        <v>0.3263324371342717</v>
      </c>
      <c r="M22" s="93">
        <f t="shared" si="8"/>
        <v>0.36175998022494127</v>
      </c>
      <c r="N22" s="93">
        <f t="shared" si="8"/>
        <v>0.31224691802393595</v>
      </c>
      <c r="O22" s="93">
        <f t="shared" si="8"/>
        <v>0.33575173759297644</v>
      </c>
      <c r="P22" s="93">
        <f t="shared" si="8"/>
        <v>0.35693483800509646</v>
      </c>
      <c r="Q22" s="93">
        <f t="shared" si="8"/>
        <v>0.3631964152352502</v>
      </c>
      <c r="R22" s="93">
        <f t="shared" si="8"/>
        <v>0.36034587378640776</v>
      </c>
      <c r="S22" s="93">
        <f t="shared" si="8"/>
        <v>0.34482339721201444</v>
      </c>
      <c r="T22" s="93">
        <f t="shared" si="8"/>
        <v>0.36264274561430365</v>
      </c>
      <c r="U22" s="93">
        <f t="shared" si="8"/>
        <v>0.3798039761308475</v>
      </c>
      <c r="V22" s="93">
        <f t="shared" si="8"/>
        <v>0.4114362025009105</v>
      </c>
    </row>
    <row r="23" spans="1:22" ht="12.75">
      <c r="A23" s="4"/>
      <c r="B23" s="31">
        <f>SUM(B16:B22)</f>
        <v>1</v>
      </c>
      <c r="C23" s="31">
        <f aca="true" t="shared" si="9" ref="C23:V23">SUM(C16:C22)</f>
        <v>1</v>
      </c>
      <c r="D23" s="31">
        <f t="shared" si="9"/>
        <v>1</v>
      </c>
      <c r="E23" s="31">
        <f t="shared" si="9"/>
        <v>1</v>
      </c>
      <c r="F23" s="31">
        <f t="shared" si="9"/>
        <v>1</v>
      </c>
      <c r="G23" s="31">
        <f t="shared" si="9"/>
        <v>1</v>
      </c>
      <c r="H23" s="31">
        <f t="shared" si="9"/>
        <v>0.9999999999999999</v>
      </c>
      <c r="I23" s="31">
        <f t="shared" si="9"/>
        <v>1</v>
      </c>
      <c r="J23" s="31">
        <f t="shared" si="9"/>
        <v>1</v>
      </c>
      <c r="K23" s="31">
        <f t="shared" si="9"/>
        <v>1</v>
      </c>
      <c r="L23" s="31">
        <f t="shared" si="9"/>
        <v>1</v>
      </c>
      <c r="M23" s="31">
        <f t="shared" si="9"/>
        <v>1</v>
      </c>
      <c r="N23" s="31">
        <f t="shared" si="9"/>
        <v>1</v>
      </c>
      <c r="O23" s="31">
        <f t="shared" si="9"/>
        <v>1</v>
      </c>
      <c r="P23" s="31">
        <f t="shared" si="9"/>
        <v>1</v>
      </c>
      <c r="Q23" s="31">
        <f t="shared" si="9"/>
        <v>1</v>
      </c>
      <c r="R23" s="31">
        <f t="shared" si="9"/>
        <v>1</v>
      </c>
      <c r="S23" s="31">
        <f t="shared" si="9"/>
        <v>1</v>
      </c>
      <c r="T23" s="31">
        <f t="shared" si="9"/>
        <v>1</v>
      </c>
      <c r="U23" s="31">
        <f t="shared" si="9"/>
        <v>1</v>
      </c>
      <c r="V23" s="31">
        <f t="shared" si="9"/>
        <v>1</v>
      </c>
    </row>
    <row r="25" spans="1:22" ht="12.75">
      <c r="A25" s="4" t="s">
        <v>76</v>
      </c>
      <c r="B25" s="59">
        <f>B16-Percentages!B188</f>
        <v>0</v>
      </c>
      <c r="C25" s="59">
        <f>C16-Percentages!C188</f>
        <v>0</v>
      </c>
      <c r="D25" s="59">
        <f>D16-Percentages!D188</f>
        <v>0</v>
      </c>
      <c r="E25" s="59">
        <f>E16-Percentages!E188</f>
        <v>0</v>
      </c>
      <c r="F25" s="59">
        <f>F16-Percentages!F188</f>
        <v>0</v>
      </c>
      <c r="G25" s="59">
        <f>G16-Percentages!G188</f>
        <v>0</v>
      </c>
      <c r="H25" s="59">
        <f>H16-Percentages!H188</f>
        <v>0</v>
      </c>
      <c r="I25" s="59">
        <f>I16-Percentages!I188</f>
        <v>0</v>
      </c>
      <c r="J25" s="59">
        <f>J16-Percentages!J188</f>
        <v>0</v>
      </c>
      <c r="K25" s="59">
        <f>K16-Percentages!K188</f>
        <v>0</v>
      </c>
      <c r="L25" s="59">
        <f>L16-Percentages!L188</f>
        <v>0</v>
      </c>
      <c r="M25" s="59">
        <f>M16-Percentages!M188</f>
        <v>0</v>
      </c>
      <c r="N25" s="59">
        <f>N16-Percentages!N188</f>
        <v>0</v>
      </c>
      <c r="O25" s="59">
        <f>O16-Percentages!O188</f>
        <v>0</v>
      </c>
      <c r="P25" s="59">
        <f>P16-Percentages!P188</f>
        <v>0</v>
      </c>
      <c r="Q25" s="59">
        <f>Q16-Percentages!Q188</f>
        <v>0</v>
      </c>
      <c r="R25" s="59">
        <f>R16-Percentages!R188</f>
        <v>0</v>
      </c>
      <c r="S25" s="59">
        <f>S16-Percentages!S188</f>
        <v>0</v>
      </c>
      <c r="T25" s="59">
        <f>T16-Percentages!T188</f>
        <v>0</v>
      </c>
      <c r="U25" s="59">
        <f>U16-Percentages!U188</f>
        <v>0</v>
      </c>
      <c r="V25" s="59">
        <f>V16-Percentages!V188</f>
        <v>0</v>
      </c>
    </row>
    <row r="26" spans="1:22" ht="12.75">
      <c r="A26" s="25" t="s">
        <v>255</v>
      </c>
      <c r="B26" s="59">
        <f>B17-Percentages!B189</f>
        <v>0</v>
      </c>
      <c r="C26" s="59">
        <f>C17-Percentages!C189</f>
        <v>0</v>
      </c>
      <c r="D26" s="59">
        <f>D17-Percentages!D189</f>
        <v>0</v>
      </c>
      <c r="E26" s="59">
        <f>E17-Percentages!E189</f>
        <v>0</v>
      </c>
      <c r="F26" s="59">
        <f>F17-Percentages!F189</f>
        <v>0</v>
      </c>
      <c r="G26" s="59">
        <f>G17-Percentages!G189</f>
        <v>0</v>
      </c>
      <c r="H26" s="59">
        <f>H17-Percentages!H189</f>
        <v>0</v>
      </c>
      <c r="I26" s="59">
        <f>I17-Percentages!I189</f>
        <v>0</v>
      </c>
      <c r="J26" s="59">
        <f>J17-Percentages!J189</f>
        <v>0</v>
      </c>
      <c r="K26" s="59">
        <f>K17-Percentages!K189</f>
        <v>0</v>
      </c>
      <c r="L26" s="59">
        <f>L17-Percentages!L189</f>
        <v>0</v>
      </c>
      <c r="M26" s="59">
        <f>M17-Percentages!M189</f>
        <v>0</v>
      </c>
      <c r="N26" s="59">
        <f>N17-Percentages!N189</f>
        <v>0</v>
      </c>
      <c r="O26" s="59">
        <f>O17-Percentages!O189</f>
        <v>0</v>
      </c>
      <c r="P26" s="59">
        <f>P17-Percentages!P189</f>
        <v>0</v>
      </c>
      <c r="Q26" s="59">
        <f>Q17-Percentages!Q189</f>
        <v>0</v>
      </c>
      <c r="R26" s="59">
        <f>R17-Percentages!R189</f>
        <v>0</v>
      </c>
      <c r="S26" s="59">
        <f>S17-Percentages!S189</f>
        <v>0</v>
      </c>
      <c r="T26" s="59">
        <f>T17-Percentages!T189</f>
        <v>0</v>
      </c>
      <c r="U26" s="59">
        <f>U17-Percentages!U189</f>
        <v>0</v>
      </c>
      <c r="V26" s="59">
        <f>V17-Percentages!V189</f>
        <v>0</v>
      </c>
    </row>
    <row r="27" spans="1:22" ht="12.75">
      <c r="A27" s="4" t="s">
        <v>190</v>
      </c>
      <c r="B27" s="59">
        <f>B18-Percentages!B190</f>
        <v>0</v>
      </c>
      <c r="C27" s="59">
        <f>C18-Percentages!C190</f>
        <v>0</v>
      </c>
      <c r="D27" s="59">
        <f>D18-Percentages!D190</f>
        <v>0</v>
      </c>
      <c r="E27" s="59">
        <f>E18-Percentages!E190</f>
        <v>0</v>
      </c>
      <c r="F27" s="59">
        <f>F18-Percentages!F190</f>
        <v>0</v>
      </c>
      <c r="G27" s="59">
        <f>G18-Percentages!G190</f>
        <v>0</v>
      </c>
      <c r="H27" s="59">
        <f>H18-Percentages!H190</f>
        <v>0</v>
      </c>
      <c r="I27" s="59">
        <f>I18-Percentages!I190</f>
        <v>0</v>
      </c>
      <c r="J27" s="59">
        <f>J18-Percentages!J190</f>
        <v>0</v>
      </c>
      <c r="K27" s="59">
        <f>K18-Percentages!K190</f>
        <v>0</v>
      </c>
      <c r="L27" s="59">
        <f>L18-Percentages!L190</f>
        <v>0</v>
      </c>
      <c r="M27" s="59">
        <f>M18-Percentages!M190</f>
        <v>0</v>
      </c>
      <c r="N27" s="59">
        <f>N18-Percentages!N190</f>
        <v>0</v>
      </c>
      <c r="O27" s="59">
        <f>O18-Percentages!O190</f>
        <v>0</v>
      </c>
      <c r="P27" s="59">
        <f>P18-Percentages!P190</f>
        <v>0</v>
      </c>
      <c r="Q27" s="59">
        <f>Q18-Percentages!Q190</f>
        <v>0</v>
      </c>
      <c r="R27" s="59">
        <f>R18-Percentages!R190</f>
        <v>0</v>
      </c>
      <c r="S27" s="59">
        <f>S18-Percentages!S190</f>
        <v>0</v>
      </c>
      <c r="T27" s="59">
        <f>T18-Percentages!T190</f>
        <v>0</v>
      </c>
      <c r="U27" s="59">
        <f>U18-Percentages!U190</f>
        <v>0</v>
      </c>
      <c r="V27" s="59">
        <f>V18-Percentages!V190</f>
        <v>0</v>
      </c>
    </row>
    <row r="28" spans="1:22" ht="12.75">
      <c r="A28" s="4" t="s">
        <v>200</v>
      </c>
      <c r="B28" s="59">
        <f>B19-Percentages!B191</f>
        <v>0</v>
      </c>
      <c r="C28" s="59">
        <f>C19-Percentages!C191</f>
        <v>0</v>
      </c>
      <c r="D28" s="59">
        <f>D19-Percentages!D191</f>
        <v>0</v>
      </c>
      <c r="E28" s="59">
        <f>E19-Percentages!E191</f>
        <v>0</v>
      </c>
      <c r="F28" s="59">
        <f>F19-Percentages!F191</f>
        <v>0</v>
      </c>
      <c r="G28" s="59">
        <f>G19-Percentages!G191</f>
        <v>0</v>
      </c>
      <c r="H28" s="59">
        <f>H19-Percentages!H191</f>
        <v>0</v>
      </c>
      <c r="I28" s="59">
        <f>I19-Percentages!I191</f>
        <v>0</v>
      </c>
      <c r="J28" s="59">
        <f>J19-Percentages!J191</f>
        <v>0</v>
      </c>
      <c r="K28" s="59">
        <f>K19-Percentages!K191</f>
        <v>0</v>
      </c>
      <c r="L28" s="59">
        <f>L19-Percentages!L191</f>
        <v>0</v>
      </c>
      <c r="M28" s="59">
        <f>M19-Percentages!M191</f>
        <v>0</v>
      </c>
      <c r="N28" s="59">
        <f>N19-Percentages!N191</f>
        <v>0</v>
      </c>
      <c r="O28" s="59">
        <f>O19-Percentages!O191</f>
        <v>0</v>
      </c>
      <c r="P28" s="59">
        <f>P19-Percentages!P191</f>
        <v>0</v>
      </c>
      <c r="Q28" s="59">
        <f>Q19-Percentages!Q191</f>
        <v>0</v>
      </c>
      <c r="R28" s="59">
        <f>R19-Percentages!R191</f>
        <v>0</v>
      </c>
      <c r="S28" s="59">
        <f>S19-Percentages!S191</f>
        <v>0</v>
      </c>
      <c r="T28" s="59">
        <f>T19-Percentages!T191</f>
        <v>0</v>
      </c>
      <c r="U28" s="59">
        <f>U19-Percentages!U191</f>
        <v>0</v>
      </c>
      <c r="V28" s="59">
        <f>V19-Percentages!V191</f>
        <v>0</v>
      </c>
    </row>
    <row r="29" spans="1:22" ht="12.75">
      <c r="A29" s="4" t="s">
        <v>191</v>
      </c>
      <c r="B29" s="59">
        <f>B20-Percentages!B192</f>
        <v>0</v>
      </c>
      <c r="C29" s="59">
        <f>C20-Percentages!C192</f>
        <v>0</v>
      </c>
      <c r="D29" s="59">
        <f>D20-Percentages!D192</f>
        <v>0</v>
      </c>
      <c r="E29" s="59">
        <f>E20-Percentages!E192</f>
        <v>0</v>
      </c>
      <c r="F29" s="59">
        <f>F20-Percentages!F192</f>
        <v>0</v>
      </c>
      <c r="G29" s="59">
        <f>G20-Percentages!G192</f>
        <v>0</v>
      </c>
      <c r="H29" s="59">
        <f>H20-Percentages!H192</f>
        <v>0</v>
      </c>
      <c r="I29" s="59">
        <f>I20-Percentages!I192</f>
        <v>0</v>
      </c>
      <c r="J29" s="59">
        <f>J20-Percentages!J192</f>
        <v>0</v>
      </c>
      <c r="K29" s="59">
        <f>K20-Percentages!K192</f>
        <v>0</v>
      </c>
      <c r="L29" s="59">
        <f>L20-Percentages!L192</f>
        <v>0</v>
      </c>
      <c r="M29" s="59">
        <f>M20-Percentages!M192</f>
        <v>0</v>
      </c>
      <c r="N29" s="59">
        <f>N20-Percentages!N192</f>
        <v>0</v>
      </c>
      <c r="O29" s="59">
        <f>O20-Percentages!O192</f>
        <v>0</v>
      </c>
      <c r="P29" s="59">
        <f>P20-Percentages!P192</f>
        <v>0</v>
      </c>
      <c r="Q29" s="59">
        <f>Q20-Percentages!Q192</f>
        <v>0</v>
      </c>
      <c r="R29" s="59">
        <f>R20-Percentages!R192</f>
        <v>0</v>
      </c>
      <c r="S29" s="59">
        <f>S20-Percentages!S192</f>
        <v>0</v>
      </c>
      <c r="T29" s="59">
        <f>T20-Percentages!T192</f>
        <v>0</v>
      </c>
      <c r="U29" s="59">
        <f>U20-Percentages!U192</f>
        <v>0</v>
      </c>
      <c r="V29" s="59">
        <f>V20-Percentages!V192</f>
        <v>0</v>
      </c>
    </row>
    <row r="30" spans="1:22" ht="12.75">
      <c r="A30" s="25" t="s">
        <v>256</v>
      </c>
      <c r="B30" s="59">
        <f>B21-Percentages!B193</f>
        <v>0</v>
      </c>
      <c r="C30" s="59">
        <f>C21-Percentages!C193</f>
        <v>0</v>
      </c>
      <c r="D30" s="59">
        <f>D21-Percentages!D193</f>
        <v>0</v>
      </c>
      <c r="E30" s="59">
        <f>E21-Percentages!E193</f>
        <v>0</v>
      </c>
      <c r="F30" s="59">
        <f>F21-Percentages!F193</f>
        <v>0</v>
      </c>
      <c r="G30" s="59">
        <f>G21-Percentages!G193</f>
        <v>0</v>
      </c>
      <c r="H30" s="59">
        <f>H21-Percentages!H193</f>
        <v>0</v>
      </c>
      <c r="I30" s="59">
        <f>I21-Percentages!I193</f>
        <v>0</v>
      </c>
      <c r="J30" s="59">
        <f>J21-Percentages!J193</f>
        <v>0</v>
      </c>
      <c r="K30" s="59">
        <f>K21-Percentages!K193</f>
        <v>0</v>
      </c>
      <c r="L30" s="59">
        <f>L21-Percentages!L193</f>
        <v>0</v>
      </c>
      <c r="M30" s="59">
        <f>M21-Percentages!M193</f>
        <v>0</v>
      </c>
      <c r="N30" s="59">
        <f>N21-Percentages!N193</f>
        <v>0</v>
      </c>
      <c r="O30" s="59">
        <f>O21-Percentages!O193</f>
        <v>0</v>
      </c>
      <c r="P30" s="59">
        <f>P21-Percentages!P193</f>
        <v>0</v>
      </c>
      <c r="Q30" s="59">
        <f>Q21-Percentages!Q193</f>
        <v>0</v>
      </c>
      <c r="R30" s="59">
        <f>R21-Percentages!R193</f>
        <v>0</v>
      </c>
      <c r="S30" s="59">
        <f>S21-Percentages!S193</f>
        <v>0</v>
      </c>
      <c r="T30" s="59">
        <f>T21-Percentages!T193</f>
        <v>0</v>
      </c>
      <c r="U30" s="59">
        <f>U21-Percentages!U193</f>
        <v>0</v>
      </c>
      <c r="V30" s="59">
        <f>V21-Percentages!V193</f>
        <v>0</v>
      </c>
    </row>
    <row r="31" spans="1:22" ht="12.75">
      <c r="A31" s="25" t="s">
        <v>328</v>
      </c>
      <c r="B31" s="59">
        <f>B22-Percentages!B194</f>
        <v>0</v>
      </c>
      <c r="C31" s="59">
        <f>C22-Percentages!C194</f>
        <v>0</v>
      </c>
      <c r="D31" s="59">
        <f>D22-Percentages!D194</f>
        <v>0</v>
      </c>
      <c r="E31" s="59">
        <f>E22-Percentages!E194</f>
        <v>0</v>
      </c>
      <c r="F31" s="59">
        <f>F22-Percentages!F194</f>
        <v>0</v>
      </c>
      <c r="G31" s="59">
        <f>G22-Percentages!G194</f>
        <v>0</v>
      </c>
      <c r="H31" s="59">
        <f>H22-Percentages!H194</f>
        <v>0</v>
      </c>
      <c r="I31" s="59">
        <f>I22-Percentages!I194</f>
        <v>0</v>
      </c>
      <c r="J31" s="59">
        <f>J22-Percentages!J194</f>
        <v>0</v>
      </c>
      <c r="K31" s="59">
        <f>K22-Percentages!K194</f>
        <v>0</v>
      </c>
      <c r="L31" s="59">
        <f>L22-Percentages!L194</f>
        <v>0</v>
      </c>
      <c r="M31" s="59">
        <f>M22-Percentages!M194</f>
        <v>0</v>
      </c>
      <c r="N31" s="59">
        <f>N22-Percentages!N194</f>
        <v>0</v>
      </c>
      <c r="O31" s="59">
        <f>O22-Percentages!O194</f>
        <v>0</v>
      </c>
      <c r="P31" s="59">
        <f>P22-Percentages!P194</f>
        <v>0</v>
      </c>
      <c r="Q31" s="59">
        <f>Q22-Percentages!Q194</f>
        <v>0</v>
      </c>
      <c r="R31" s="59">
        <f>R22-Percentages!R194</f>
        <v>0</v>
      </c>
      <c r="S31" s="59">
        <f>S22-Percentages!S194</f>
        <v>0</v>
      </c>
      <c r="T31" s="59">
        <f>T22-Percentages!T194</f>
        <v>0</v>
      </c>
      <c r="U31" s="59">
        <f>U22-Percentages!U194</f>
        <v>0</v>
      </c>
      <c r="V31" s="59">
        <f>V22-Percentages!V194</f>
        <v>0</v>
      </c>
    </row>
    <row r="33" spans="1:22" ht="12.75">
      <c r="A33" t="s">
        <v>194</v>
      </c>
      <c r="B33" s="14" t="s">
        <v>242</v>
      </c>
      <c r="C33" s="14" t="s">
        <v>242</v>
      </c>
      <c r="D33" s="14" t="s">
        <v>242</v>
      </c>
      <c r="E33" s="14" t="s">
        <v>242</v>
      </c>
      <c r="F33" s="14" t="s">
        <v>242</v>
      </c>
      <c r="G33" s="14" t="s">
        <v>242</v>
      </c>
      <c r="H33" s="14" t="s">
        <v>242</v>
      </c>
      <c r="I33" s="14" t="s">
        <v>242</v>
      </c>
      <c r="J33" s="14" t="s">
        <v>242</v>
      </c>
      <c r="K33" s="14" t="s">
        <v>242</v>
      </c>
      <c r="L33" s="9">
        <v>1862</v>
      </c>
      <c r="M33" s="9">
        <v>1979</v>
      </c>
      <c r="N33" s="9">
        <v>1998</v>
      </c>
      <c r="O33" s="9">
        <v>2000</v>
      </c>
      <c r="P33" s="9">
        <v>2095</v>
      </c>
      <c r="Q33" s="9">
        <v>2301</v>
      </c>
      <c r="R33" s="9">
        <v>2001</v>
      </c>
      <c r="S33" s="9">
        <v>2067</v>
      </c>
      <c r="T33" s="9">
        <v>2030</v>
      </c>
      <c r="U33" s="9">
        <v>2078</v>
      </c>
      <c r="V33" s="9">
        <v>2217</v>
      </c>
    </row>
    <row r="34" spans="1:22" ht="12.75">
      <c r="A34" t="s">
        <v>195</v>
      </c>
      <c r="B34" s="14" t="s">
        <v>242</v>
      </c>
      <c r="C34" s="14" t="s">
        <v>242</v>
      </c>
      <c r="D34" s="14" t="s">
        <v>242</v>
      </c>
      <c r="E34" s="14" t="s">
        <v>242</v>
      </c>
      <c r="F34" s="14" t="s">
        <v>242</v>
      </c>
      <c r="G34" s="14" t="s">
        <v>242</v>
      </c>
      <c r="H34" s="14" t="s">
        <v>242</v>
      </c>
      <c r="I34" s="14" t="s">
        <v>242</v>
      </c>
      <c r="J34" s="14" t="s">
        <v>242</v>
      </c>
      <c r="K34" s="14" t="s">
        <v>242</v>
      </c>
      <c r="L34" s="9">
        <v>2327</v>
      </c>
      <c r="M34" s="9">
        <v>2738</v>
      </c>
      <c r="N34" s="9">
        <v>2576</v>
      </c>
      <c r="O34" s="9">
        <v>2669</v>
      </c>
      <c r="P34" s="9">
        <v>2781</v>
      </c>
      <c r="Q34" s="9">
        <v>2793</v>
      </c>
      <c r="R34" s="9">
        <v>2517</v>
      </c>
      <c r="S34" s="9">
        <v>2577</v>
      </c>
      <c r="T34" s="9">
        <v>2722</v>
      </c>
      <c r="U34" s="9">
        <v>3017</v>
      </c>
      <c r="V34" s="9">
        <v>2809</v>
      </c>
    </row>
    <row r="35" spans="1:22" ht="12.75">
      <c r="A35" t="s">
        <v>196</v>
      </c>
      <c r="B35" s="14" t="s">
        <v>242</v>
      </c>
      <c r="C35" s="14" t="s">
        <v>242</v>
      </c>
      <c r="D35" s="14" t="s">
        <v>242</v>
      </c>
      <c r="E35" s="14" t="s">
        <v>242</v>
      </c>
      <c r="F35" s="14" t="s">
        <v>242</v>
      </c>
      <c r="G35" s="14" t="s">
        <v>242</v>
      </c>
      <c r="H35" s="14" t="s">
        <v>242</v>
      </c>
      <c r="I35" s="14" t="s">
        <v>242</v>
      </c>
      <c r="J35" s="14" t="s">
        <v>242</v>
      </c>
      <c r="K35" s="14" t="s">
        <v>242</v>
      </c>
      <c r="L35" s="9">
        <v>1469</v>
      </c>
      <c r="M35" s="9">
        <v>1752</v>
      </c>
      <c r="N35" s="9">
        <v>1547</v>
      </c>
      <c r="O35" s="9">
        <v>1707</v>
      </c>
      <c r="P35" s="9">
        <v>1615</v>
      </c>
      <c r="Q35" s="9">
        <v>1649</v>
      </c>
      <c r="R35" s="9">
        <v>1577</v>
      </c>
      <c r="S35" s="9">
        <v>1608</v>
      </c>
      <c r="T35" s="9">
        <v>1731</v>
      </c>
      <c r="U35" s="9">
        <v>1727</v>
      </c>
      <c r="V35" s="9">
        <v>1805</v>
      </c>
    </row>
    <row r="36" spans="1:22" ht="12.75">
      <c r="A36" t="s">
        <v>197</v>
      </c>
      <c r="B36" s="14" t="s">
        <v>242</v>
      </c>
      <c r="C36" s="14" t="s">
        <v>242</v>
      </c>
      <c r="D36" s="14" t="s">
        <v>242</v>
      </c>
      <c r="E36" s="14" t="s">
        <v>242</v>
      </c>
      <c r="F36" s="14" t="s">
        <v>242</v>
      </c>
      <c r="G36" s="14" t="s">
        <v>242</v>
      </c>
      <c r="H36" s="14" t="s">
        <v>242</v>
      </c>
      <c r="I36" s="14" t="s">
        <v>242</v>
      </c>
      <c r="J36" s="14" t="s">
        <v>242</v>
      </c>
      <c r="K36" s="14" t="s">
        <v>242</v>
      </c>
      <c r="L36" s="9">
        <v>1088</v>
      </c>
      <c r="M36" s="9">
        <v>1202</v>
      </c>
      <c r="N36" s="9">
        <v>1024</v>
      </c>
      <c r="O36" s="9">
        <v>1071</v>
      </c>
      <c r="P36" s="9">
        <v>1136</v>
      </c>
      <c r="Q36" s="9">
        <v>1168</v>
      </c>
      <c r="R36" s="9">
        <v>1107</v>
      </c>
      <c r="S36" s="9">
        <v>1035</v>
      </c>
      <c r="T36" s="9">
        <v>1171</v>
      </c>
      <c r="U36" s="9">
        <v>1119</v>
      </c>
      <c r="V36" s="9">
        <v>1204</v>
      </c>
    </row>
    <row r="37" spans="1:22" ht="12.75">
      <c r="A37" t="s">
        <v>303</v>
      </c>
      <c r="B37" s="14" t="s">
        <v>242</v>
      </c>
      <c r="C37" s="14" t="s">
        <v>242</v>
      </c>
      <c r="D37" s="14" t="s">
        <v>242</v>
      </c>
      <c r="E37" s="14" t="s">
        <v>242</v>
      </c>
      <c r="F37" s="14" t="s">
        <v>242</v>
      </c>
      <c r="G37" s="14" t="s">
        <v>242</v>
      </c>
      <c r="H37" s="14" t="s">
        <v>242</v>
      </c>
      <c r="I37" s="14" t="s">
        <v>242</v>
      </c>
      <c r="J37" s="14" t="s">
        <v>242</v>
      </c>
      <c r="K37" s="14" t="s">
        <v>242</v>
      </c>
      <c r="L37" s="9">
        <v>3571</v>
      </c>
      <c r="M37" s="9">
        <v>4037</v>
      </c>
      <c r="N37" s="9">
        <f>SUM(N46:N47)</f>
        <v>3265</v>
      </c>
      <c r="O37" s="9">
        <f aca="true" t="shared" si="10" ref="O37:V37">SUM(O46:O47)</f>
        <v>3567</v>
      </c>
      <c r="P37" s="9">
        <f t="shared" si="10"/>
        <v>4139</v>
      </c>
      <c r="Q37" s="9">
        <f t="shared" si="10"/>
        <v>4247</v>
      </c>
      <c r="R37" s="9">
        <f t="shared" si="10"/>
        <v>4675</v>
      </c>
      <c r="S37" s="9">
        <f t="shared" si="10"/>
        <v>4067</v>
      </c>
      <c r="T37" s="9">
        <f t="shared" si="10"/>
        <v>4191</v>
      </c>
      <c r="U37" s="9">
        <f t="shared" si="10"/>
        <v>4343</v>
      </c>
      <c r="V37" s="9">
        <f t="shared" si="10"/>
        <v>5521</v>
      </c>
    </row>
    <row r="38" spans="2:22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2.75">
      <c r="A39" t="s">
        <v>194</v>
      </c>
      <c r="B39" s="14" t="s">
        <v>242</v>
      </c>
      <c r="C39" s="14" t="s">
        <v>242</v>
      </c>
      <c r="D39" s="14" t="s">
        <v>242</v>
      </c>
      <c r="E39" s="14" t="s">
        <v>242</v>
      </c>
      <c r="F39" s="14" t="s">
        <v>242</v>
      </c>
      <c r="G39" s="14" t="s">
        <v>242</v>
      </c>
      <c r="H39" s="14" t="s">
        <v>242</v>
      </c>
      <c r="I39" s="14" t="s">
        <v>242</v>
      </c>
      <c r="J39" s="14" t="s">
        <v>242</v>
      </c>
      <c r="K39" s="14" t="s">
        <v>242</v>
      </c>
      <c r="L39" s="31">
        <f>L33/SUM(L$5:L$11)</f>
        <v>0.058896093626443144</v>
      </c>
      <c r="M39" s="31">
        <f aca="true" t="shared" si="11" ref="M39:V39">M33/SUM(M$5:M$11)</f>
        <v>0.06114818934618712</v>
      </c>
      <c r="N39" s="31">
        <f t="shared" si="11"/>
        <v>0.05992981193197156</v>
      </c>
      <c r="O39" s="31">
        <f t="shared" si="11"/>
        <v>0.06096817461285209</v>
      </c>
      <c r="P39" s="31">
        <f t="shared" si="11"/>
        <v>0.06355418031792258</v>
      </c>
      <c r="Q39" s="31">
        <f t="shared" si="11"/>
        <v>0.06873786407766991</v>
      </c>
      <c r="R39" s="31">
        <f t="shared" si="11"/>
        <v>0.06070995145631068</v>
      </c>
      <c r="S39" s="31">
        <f t="shared" si="11"/>
        <v>0.06277523005436268</v>
      </c>
      <c r="T39" s="31">
        <f t="shared" si="11"/>
        <v>0.062149833144536634</v>
      </c>
      <c r="U39" s="31">
        <f t="shared" si="11"/>
        <v>0.06424883282317657</v>
      </c>
      <c r="V39" s="31">
        <f t="shared" si="11"/>
        <v>0.06728784751729999</v>
      </c>
    </row>
    <row r="40" spans="1:22" ht="12.75">
      <c r="A40" t="s">
        <v>195</v>
      </c>
      <c r="B40" s="14" t="s">
        <v>242</v>
      </c>
      <c r="C40" s="14" t="s">
        <v>242</v>
      </c>
      <c r="D40" s="14" t="s">
        <v>242</v>
      </c>
      <c r="E40" s="14" t="s">
        <v>242</v>
      </c>
      <c r="F40" s="14" t="s">
        <v>242</v>
      </c>
      <c r="G40" s="14" t="s">
        <v>242</v>
      </c>
      <c r="H40" s="14" t="s">
        <v>242</v>
      </c>
      <c r="I40" s="14" t="s">
        <v>242</v>
      </c>
      <c r="J40" s="14" t="s">
        <v>242</v>
      </c>
      <c r="K40" s="14" t="s">
        <v>242</v>
      </c>
      <c r="L40" s="31">
        <f aca="true" t="shared" si="12" ref="L40:V43">L34/SUM(L$5:L$11)</f>
        <v>0.07360430175549582</v>
      </c>
      <c r="M40" s="31">
        <f t="shared" si="12"/>
        <v>0.08460017303176369</v>
      </c>
      <c r="N40" s="31">
        <f t="shared" si="12"/>
        <v>0.07726686463301238</v>
      </c>
      <c r="O40" s="31">
        <f t="shared" si="12"/>
        <v>0.08136202902085111</v>
      </c>
      <c r="P40" s="31">
        <f t="shared" si="12"/>
        <v>0.08436476155806334</v>
      </c>
      <c r="Q40" s="31">
        <f t="shared" si="12"/>
        <v>0.0834353995519044</v>
      </c>
      <c r="R40" s="31">
        <f t="shared" si="12"/>
        <v>0.07636529126213593</v>
      </c>
      <c r="S40" s="31">
        <f t="shared" si="12"/>
        <v>0.0782640386309108</v>
      </c>
      <c r="T40" s="31">
        <f t="shared" si="12"/>
        <v>0.08333588464011267</v>
      </c>
      <c r="U40" s="31">
        <f t="shared" si="12"/>
        <v>0.09328139009986705</v>
      </c>
      <c r="V40" s="31">
        <f t="shared" si="12"/>
        <v>0.08525555420662863</v>
      </c>
    </row>
    <row r="41" spans="1:22" ht="12.75">
      <c r="A41" t="s">
        <v>196</v>
      </c>
      <c r="B41" s="14" t="s">
        <v>242</v>
      </c>
      <c r="C41" s="14" t="s">
        <v>242</v>
      </c>
      <c r="D41" s="14" t="s">
        <v>242</v>
      </c>
      <c r="E41" s="14" t="s">
        <v>242</v>
      </c>
      <c r="F41" s="14" t="s">
        <v>242</v>
      </c>
      <c r="G41" s="14" t="s">
        <v>242</v>
      </c>
      <c r="H41" s="14" t="s">
        <v>242</v>
      </c>
      <c r="I41" s="14" t="s">
        <v>242</v>
      </c>
      <c r="J41" s="14" t="s">
        <v>242</v>
      </c>
      <c r="K41" s="14" t="s">
        <v>242</v>
      </c>
      <c r="L41" s="31">
        <f t="shared" si="12"/>
        <v>0.046465285465759926</v>
      </c>
      <c r="M41" s="31">
        <f t="shared" si="12"/>
        <v>0.054134223210975156</v>
      </c>
      <c r="N41" s="31">
        <f t="shared" si="12"/>
        <v>0.046402111641021024</v>
      </c>
      <c r="O41" s="31">
        <f t="shared" si="12"/>
        <v>0.05203633703206926</v>
      </c>
      <c r="P41" s="31">
        <f t="shared" si="12"/>
        <v>0.0489928406746754</v>
      </c>
      <c r="Q41" s="31">
        <f t="shared" si="12"/>
        <v>0.049260642270351006</v>
      </c>
      <c r="R41" s="31">
        <f t="shared" si="12"/>
        <v>0.04784587378640777</v>
      </c>
      <c r="S41" s="31">
        <f t="shared" si="12"/>
        <v>0.04883530233546937</v>
      </c>
      <c r="T41" s="31">
        <f t="shared" si="12"/>
        <v>0.052995744420292076</v>
      </c>
      <c r="U41" s="31">
        <f t="shared" si="12"/>
        <v>0.053396407259685245</v>
      </c>
      <c r="V41" s="31">
        <f t="shared" si="12"/>
        <v>0.05478329488891587</v>
      </c>
    </row>
    <row r="42" spans="1:22" ht="12.75">
      <c r="A42" t="s">
        <v>197</v>
      </c>
      <c r="B42" s="14" t="s">
        <v>242</v>
      </c>
      <c r="C42" s="14" t="s">
        <v>242</v>
      </c>
      <c r="D42" s="14" t="s">
        <v>242</v>
      </c>
      <c r="E42" s="14" t="s">
        <v>242</v>
      </c>
      <c r="F42" s="14" t="s">
        <v>242</v>
      </c>
      <c r="G42" s="14" t="s">
        <v>242</v>
      </c>
      <c r="H42" s="14" t="s">
        <v>242</v>
      </c>
      <c r="I42" s="14" t="s">
        <v>242</v>
      </c>
      <c r="J42" s="14" t="s">
        <v>242</v>
      </c>
      <c r="K42" s="14" t="s">
        <v>242</v>
      </c>
      <c r="L42" s="31">
        <f t="shared" si="12"/>
        <v>0.03441404396647161</v>
      </c>
      <c r="M42" s="31">
        <f t="shared" si="12"/>
        <v>0.037140032134470397</v>
      </c>
      <c r="N42" s="31">
        <f t="shared" si="12"/>
        <v>0.030714778487657097</v>
      </c>
      <c r="O42" s="31">
        <f t="shared" si="12"/>
        <v>0.0326484575051823</v>
      </c>
      <c r="P42" s="31">
        <f t="shared" si="12"/>
        <v>0.03446183715568499</v>
      </c>
      <c r="Q42" s="31">
        <f t="shared" si="12"/>
        <v>0.034891710231516056</v>
      </c>
      <c r="R42" s="31">
        <f t="shared" si="12"/>
        <v>0.03358616504854369</v>
      </c>
      <c r="S42" s="31">
        <f t="shared" si="12"/>
        <v>0.03143317034652413</v>
      </c>
      <c r="T42" s="31">
        <f t="shared" si="12"/>
        <v>0.03585096286317852</v>
      </c>
      <c r="U42" s="31">
        <f t="shared" si="12"/>
        <v>0.03459790371950654</v>
      </c>
      <c r="V42" s="31">
        <f t="shared" si="12"/>
        <v>0.036542430496540004</v>
      </c>
    </row>
    <row r="43" spans="1:22" ht="12.75">
      <c r="A43" t="s">
        <v>303</v>
      </c>
      <c r="B43" s="14" t="s">
        <v>242</v>
      </c>
      <c r="C43" s="14" t="s">
        <v>242</v>
      </c>
      <c r="D43" s="14" t="s">
        <v>242</v>
      </c>
      <c r="E43" s="14" t="s">
        <v>242</v>
      </c>
      <c r="F43" s="14" t="s">
        <v>242</v>
      </c>
      <c r="G43" s="14" t="s">
        <v>242</v>
      </c>
      <c r="H43" s="14" t="s">
        <v>242</v>
      </c>
      <c r="I43" s="14" t="s">
        <v>242</v>
      </c>
      <c r="J43" s="14" t="s">
        <v>242</v>
      </c>
      <c r="K43" s="14" t="s">
        <v>242</v>
      </c>
      <c r="L43" s="31">
        <f t="shared" si="12"/>
        <v>0.11295271232010122</v>
      </c>
      <c r="M43" s="31">
        <f t="shared" si="12"/>
        <v>0.12473736250154492</v>
      </c>
      <c r="N43" s="31">
        <f t="shared" si="12"/>
        <v>0.09793335133027385</v>
      </c>
      <c r="O43" s="31">
        <f t="shared" si="12"/>
        <v>0.10873673942202171</v>
      </c>
      <c r="P43" s="31">
        <f t="shared" si="12"/>
        <v>0.12556121829875014</v>
      </c>
      <c r="Q43" s="31">
        <f t="shared" si="12"/>
        <v>0.1268707991038088</v>
      </c>
      <c r="R43" s="31">
        <f t="shared" si="12"/>
        <v>0.1418385922330097</v>
      </c>
      <c r="S43" s="31">
        <f t="shared" si="12"/>
        <v>0.12351565584474747</v>
      </c>
      <c r="T43" s="31">
        <f t="shared" si="12"/>
        <v>0.12831032054618374</v>
      </c>
      <c r="U43" s="31">
        <f t="shared" si="12"/>
        <v>0.13427944222861207</v>
      </c>
      <c r="V43" s="31">
        <f t="shared" si="12"/>
        <v>0.16756707539152604</v>
      </c>
    </row>
    <row r="44" spans="2:22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28">
        <f>L22-SUM(L39:L43)</f>
        <v>0</v>
      </c>
      <c r="M44" s="28">
        <f aca="true" t="shared" si="13" ref="M44:V44">M22-SUM(M39:M43)</f>
        <v>0</v>
      </c>
      <c r="N44" s="28">
        <f t="shared" si="13"/>
        <v>0</v>
      </c>
      <c r="O44" s="28">
        <f t="shared" si="13"/>
        <v>0</v>
      </c>
      <c r="P44" s="28">
        <f t="shared" si="13"/>
        <v>0</v>
      </c>
      <c r="Q44" s="28">
        <f t="shared" si="13"/>
        <v>0</v>
      </c>
      <c r="R44" s="28">
        <f t="shared" si="13"/>
        <v>0</v>
      </c>
      <c r="S44" s="28">
        <f t="shared" si="13"/>
        <v>0</v>
      </c>
      <c r="T44" s="28">
        <f t="shared" si="13"/>
        <v>0</v>
      </c>
      <c r="U44" s="28">
        <f t="shared" si="13"/>
        <v>0</v>
      </c>
      <c r="V44" s="28">
        <f t="shared" si="13"/>
        <v>0</v>
      </c>
    </row>
    <row r="45" spans="2:22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2.75">
      <c r="A46" t="s">
        <v>198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v>1539</v>
      </c>
      <c r="O46" s="9">
        <v>1596</v>
      </c>
      <c r="P46" s="9">
        <v>1846</v>
      </c>
      <c r="Q46" s="9">
        <v>1803</v>
      </c>
      <c r="R46" s="9">
        <v>1776</v>
      </c>
      <c r="S46" s="9">
        <v>1552</v>
      </c>
      <c r="T46" s="9">
        <v>1655</v>
      </c>
      <c r="U46" s="9">
        <v>1706</v>
      </c>
      <c r="V46" s="9">
        <v>1931</v>
      </c>
    </row>
    <row r="47" spans="1:22" ht="12.75">
      <c r="A47" t="s">
        <v>199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>
        <v>1726</v>
      </c>
      <c r="O47" s="9">
        <v>1971</v>
      </c>
      <c r="P47" s="9">
        <v>2293</v>
      </c>
      <c r="Q47" s="9">
        <v>2444</v>
      </c>
      <c r="R47" s="9">
        <v>2899</v>
      </c>
      <c r="S47" s="9">
        <v>2515</v>
      </c>
      <c r="T47" s="9">
        <v>2536</v>
      </c>
      <c r="U47" s="9">
        <v>2637</v>
      </c>
      <c r="V47" s="9">
        <v>3590</v>
      </c>
    </row>
    <row r="49" spans="12:22" ht="12.75">
      <c r="L49" s="9">
        <f>L11-SUM(L33:L37)</f>
        <v>0</v>
      </c>
      <c r="M49" s="9">
        <f aca="true" t="shared" si="14" ref="M49:V49">M11-SUM(M33:M37)</f>
        <v>0</v>
      </c>
      <c r="N49" s="9">
        <f t="shared" si="14"/>
        <v>0</v>
      </c>
      <c r="O49" s="9">
        <f t="shared" si="14"/>
        <v>0</v>
      </c>
      <c r="P49" s="9">
        <f t="shared" si="14"/>
        <v>0</v>
      </c>
      <c r="Q49" s="9">
        <f t="shared" si="14"/>
        <v>0</v>
      </c>
      <c r="R49" s="9">
        <f t="shared" si="14"/>
        <v>0</v>
      </c>
      <c r="S49" s="9">
        <f t="shared" si="14"/>
        <v>0</v>
      </c>
      <c r="T49" s="9">
        <f t="shared" si="14"/>
        <v>0</v>
      </c>
      <c r="U49" s="9">
        <f t="shared" si="14"/>
        <v>0</v>
      </c>
      <c r="V49" s="9">
        <f t="shared" si="14"/>
        <v>0</v>
      </c>
    </row>
    <row r="51" ht="12.75">
      <c r="A51" t="s">
        <v>380</v>
      </c>
    </row>
    <row r="52" spans="1:22" ht="12.75">
      <c r="A52" s="4" t="s">
        <v>203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0"/>
      <c r="S52" s="10"/>
      <c r="T52" s="10"/>
      <c r="U52" s="10"/>
      <c r="V52" s="10"/>
    </row>
    <row r="53" spans="1:22" ht="12.75">
      <c r="A53" s="4" t="s">
        <v>188</v>
      </c>
      <c r="B53" s="14" t="s">
        <v>242</v>
      </c>
      <c r="C53" s="9">
        <f>156+1358</f>
        <v>1514</v>
      </c>
      <c r="D53" s="50">
        <f>123+1274</f>
        <v>1397</v>
      </c>
      <c r="E53" s="9">
        <f>113+1175</f>
        <v>1288</v>
      </c>
      <c r="F53" s="9">
        <f>132+1134</f>
        <v>1266</v>
      </c>
      <c r="G53" s="9">
        <f>142+1091</f>
        <v>1233</v>
      </c>
      <c r="H53" s="9">
        <f>146+1100</f>
        <v>1246</v>
      </c>
      <c r="I53" s="9">
        <f>174+1128</f>
        <v>1302</v>
      </c>
      <c r="J53" s="9">
        <f>188+1134</f>
        <v>1322</v>
      </c>
      <c r="K53" s="9">
        <f>175+1131</f>
        <v>1306</v>
      </c>
      <c r="L53" s="9">
        <v>1877</v>
      </c>
      <c r="M53" s="9">
        <v>2336</v>
      </c>
      <c r="N53" s="9">
        <v>2832</v>
      </c>
      <c r="O53" s="9">
        <v>2538</v>
      </c>
      <c r="P53" s="9">
        <v>2237</v>
      </c>
      <c r="Q53" s="9">
        <v>2845</v>
      </c>
      <c r="R53" s="10">
        <v>4433</v>
      </c>
      <c r="S53" s="10">
        <v>5163</v>
      </c>
      <c r="T53" s="10">
        <v>4906</v>
      </c>
      <c r="U53" s="10">
        <v>5016</v>
      </c>
      <c r="V53" s="10">
        <v>4051</v>
      </c>
    </row>
    <row r="54" spans="1:22" ht="12.75">
      <c r="A54" s="4" t="s">
        <v>189</v>
      </c>
      <c r="B54" s="14" t="s">
        <v>242</v>
      </c>
      <c r="C54" s="9">
        <f>2285+4063</f>
        <v>6348</v>
      </c>
      <c r="D54" s="50">
        <f>4124+2139</f>
        <v>6263</v>
      </c>
      <c r="E54" s="9">
        <f>4039+2020</f>
        <v>6059</v>
      </c>
      <c r="F54" s="9">
        <f>3958+2095</f>
        <v>6053</v>
      </c>
      <c r="G54" s="9">
        <f>2131+4095</f>
        <v>6226</v>
      </c>
      <c r="H54" s="9">
        <f>2324+4213</f>
        <v>6537</v>
      </c>
      <c r="I54" s="9">
        <f>2392+4046</f>
        <v>6438</v>
      </c>
      <c r="J54" s="9">
        <f>2653+4365</f>
        <v>7018</v>
      </c>
      <c r="K54" s="9">
        <f>2500+4199</f>
        <v>6699</v>
      </c>
      <c r="L54" s="9">
        <v>8986</v>
      </c>
      <c r="M54" s="9">
        <v>9099</v>
      </c>
      <c r="N54" s="9">
        <v>9770</v>
      </c>
      <c r="O54" s="9">
        <v>8771</v>
      </c>
      <c r="P54" s="9">
        <v>8072</v>
      </c>
      <c r="Q54" s="9">
        <v>9570</v>
      </c>
      <c r="R54" s="10">
        <v>11438</v>
      </c>
      <c r="S54" s="10">
        <v>11992</v>
      </c>
      <c r="T54" s="10">
        <v>11131</v>
      </c>
      <c r="U54" s="10">
        <v>11223</v>
      </c>
      <c r="V54" s="10">
        <v>10761</v>
      </c>
    </row>
    <row r="55" spans="1:22" ht="12.75">
      <c r="A55" s="4" t="s">
        <v>190</v>
      </c>
      <c r="B55" s="14" t="s">
        <v>242</v>
      </c>
      <c r="C55" s="9">
        <f>5308+2435</f>
        <v>7743</v>
      </c>
      <c r="D55" s="50">
        <f>5141+2503</f>
        <v>7644</v>
      </c>
      <c r="E55" s="9">
        <f>5096+2648</f>
        <v>7744</v>
      </c>
      <c r="F55" s="9">
        <f>5004+2658</f>
        <v>7662</v>
      </c>
      <c r="G55" s="9">
        <f>4890+2793</f>
        <v>7683</v>
      </c>
      <c r="H55" s="9">
        <f>4975+2892</f>
        <v>7867</v>
      </c>
      <c r="I55" s="9">
        <f>5079+2861</f>
        <v>7940</v>
      </c>
      <c r="J55" s="9">
        <f>5283+2915</f>
        <v>8198</v>
      </c>
      <c r="K55" s="9">
        <f>4969+3088</f>
        <v>8057</v>
      </c>
      <c r="L55" s="9">
        <v>9729</v>
      </c>
      <c r="M55" s="9">
        <v>9799</v>
      </c>
      <c r="N55" s="9">
        <v>9609</v>
      </c>
      <c r="O55" s="9">
        <v>9525</v>
      </c>
      <c r="P55" s="9">
        <v>9753</v>
      </c>
      <c r="Q55" s="9">
        <v>11260</v>
      </c>
      <c r="R55" s="10">
        <v>11246</v>
      </c>
      <c r="S55" s="10">
        <v>11948</v>
      </c>
      <c r="T55" s="10">
        <v>12316</v>
      </c>
      <c r="U55" s="10">
        <v>11917</v>
      </c>
      <c r="V55" s="10">
        <v>11412</v>
      </c>
    </row>
    <row r="56" spans="1:22" ht="12.75">
      <c r="A56" s="4" t="s">
        <v>200</v>
      </c>
      <c r="B56" s="14" t="s">
        <v>242</v>
      </c>
      <c r="C56" s="9">
        <f>4943+1382</f>
        <v>6325</v>
      </c>
      <c r="D56" s="50">
        <f>1512+5041</f>
        <v>6553</v>
      </c>
      <c r="E56" s="9">
        <f>1495+5006</f>
        <v>6501</v>
      </c>
      <c r="F56" s="9">
        <f>1595+5180</f>
        <v>6775</v>
      </c>
      <c r="G56" s="9">
        <f>5050+1624</f>
        <v>6674</v>
      </c>
      <c r="H56" s="9">
        <f>5066+1683</f>
        <v>6749</v>
      </c>
      <c r="I56" s="9">
        <f>5184+1741</f>
        <v>6925</v>
      </c>
      <c r="J56" s="9">
        <f>5200+1700</f>
        <v>6900</v>
      </c>
      <c r="K56" s="9">
        <f>4874+1830</f>
        <v>6704</v>
      </c>
      <c r="L56" s="9">
        <v>8441</v>
      </c>
      <c r="M56" s="9">
        <v>8605</v>
      </c>
      <c r="N56" s="9">
        <v>8740</v>
      </c>
      <c r="O56" s="9">
        <v>8928</v>
      </c>
      <c r="P56" s="9">
        <v>9892</v>
      </c>
      <c r="Q56" s="9">
        <v>10637</v>
      </c>
      <c r="R56" s="10">
        <v>10232</v>
      </c>
      <c r="S56" s="10">
        <v>11108</v>
      </c>
      <c r="T56" s="10">
        <v>10913</v>
      </c>
      <c r="U56" s="10">
        <v>11165</v>
      </c>
      <c r="V56" s="10">
        <v>11499</v>
      </c>
    </row>
    <row r="57" spans="1:22" ht="12.75">
      <c r="A57" s="4" t="s">
        <v>191</v>
      </c>
      <c r="B57" s="14" t="s">
        <v>242</v>
      </c>
      <c r="C57" s="9">
        <f>3217+762</f>
        <v>3979</v>
      </c>
      <c r="D57" s="50">
        <f>3305+902</f>
        <v>4207</v>
      </c>
      <c r="E57" s="9">
        <f>3590+921</f>
        <v>4511</v>
      </c>
      <c r="F57" s="9">
        <f>3712+932</f>
        <v>4644</v>
      </c>
      <c r="G57" s="9">
        <f>3951+1021</f>
        <v>4972</v>
      </c>
      <c r="H57" s="9">
        <f>4072+1099</f>
        <v>5171</v>
      </c>
      <c r="I57" s="9">
        <f>3970+1075</f>
        <v>5045</v>
      </c>
      <c r="J57" s="9">
        <f>3947+1124</f>
        <v>5071</v>
      </c>
      <c r="K57" s="9">
        <f>3783+1174</f>
        <v>4957</v>
      </c>
      <c r="L57" s="9">
        <v>6472</v>
      </c>
      <c r="M57" s="9">
        <v>6991</v>
      </c>
      <c r="N57" s="9">
        <v>6838</v>
      </c>
      <c r="O57" s="9">
        <v>7022</v>
      </c>
      <c r="P57" s="9">
        <v>7511</v>
      </c>
      <c r="Q57" s="9">
        <v>8174</v>
      </c>
      <c r="R57" s="10">
        <v>7556</v>
      </c>
      <c r="S57" s="10">
        <v>7761</v>
      </c>
      <c r="T57" s="10">
        <v>8544</v>
      </c>
      <c r="U57" s="10">
        <v>8476</v>
      </c>
      <c r="V57" s="10">
        <v>8947</v>
      </c>
    </row>
    <row r="58" spans="1:22" ht="12.75">
      <c r="A58" s="4" t="s">
        <v>192</v>
      </c>
      <c r="B58" s="14" t="s">
        <v>242</v>
      </c>
      <c r="C58" s="9">
        <f>1825+507</f>
        <v>2332</v>
      </c>
      <c r="D58" s="50">
        <f>529+1887</f>
        <v>2416</v>
      </c>
      <c r="E58" s="9">
        <f>2118+494</f>
        <v>2612</v>
      </c>
      <c r="F58" s="9">
        <f>608+2244</f>
        <v>2852</v>
      </c>
      <c r="G58" s="9">
        <f>2475+618</f>
        <v>3093</v>
      </c>
      <c r="H58" s="9">
        <f>2555+630</f>
        <v>3185</v>
      </c>
      <c r="I58" s="9">
        <f>2577+686</f>
        <v>3263</v>
      </c>
      <c r="J58" s="9">
        <f>2660+642</f>
        <v>3302</v>
      </c>
      <c r="K58" s="9">
        <f>2801+711</f>
        <v>3512</v>
      </c>
      <c r="L58" s="9">
        <v>4690</v>
      </c>
      <c r="M58" s="9">
        <v>4787</v>
      </c>
      <c r="N58" s="9">
        <v>5053</v>
      </c>
      <c r="O58" s="9">
        <v>5197</v>
      </c>
      <c r="P58" s="9">
        <v>5204</v>
      </c>
      <c r="Q58" s="9">
        <v>5523</v>
      </c>
      <c r="R58" s="10">
        <v>5198</v>
      </c>
      <c r="S58" s="10">
        <v>5503</v>
      </c>
      <c r="T58" s="10">
        <v>5932</v>
      </c>
      <c r="U58" s="10">
        <v>6148</v>
      </c>
      <c r="V58" s="10">
        <v>6788</v>
      </c>
    </row>
    <row r="59" spans="1:22" ht="12.75">
      <c r="A59" s="4" t="s">
        <v>193</v>
      </c>
      <c r="B59" s="14" t="s">
        <v>242</v>
      </c>
      <c r="C59" s="9">
        <f>870+330</f>
        <v>1200</v>
      </c>
      <c r="D59" s="50">
        <f>1042+328</f>
        <v>1370</v>
      </c>
      <c r="E59" s="9">
        <f>357+1158</f>
        <v>1515</v>
      </c>
      <c r="F59" s="9">
        <f>1310+397</f>
        <v>1707</v>
      </c>
      <c r="G59" s="9">
        <f>1443+429</f>
        <v>1872</v>
      </c>
      <c r="H59" s="9">
        <f>1488+433</f>
        <v>1921</v>
      </c>
      <c r="I59" s="9">
        <f>1530+433</f>
        <v>1963</v>
      </c>
      <c r="J59" s="9">
        <f>1595+482</f>
        <v>2077</v>
      </c>
      <c r="K59" s="9">
        <f>1711+516</f>
        <v>2227</v>
      </c>
      <c r="L59" s="9">
        <v>3184</v>
      </c>
      <c r="M59" s="9">
        <v>3167</v>
      </c>
      <c r="N59" s="9">
        <v>3144</v>
      </c>
      <c r="O59" s="9">
        <v>3362</v>
      </c>
      <c r="P59" s="9">
        <v>3368</v>
      </c>
      <c r="Q59" s="9">
        <v>3586</v>
      </c>
      <c r="R59" s="10">
        <v>3486</v>
      </c>
      <c r="S59" s="10">
        <v>3450</v>
      </c>
      <c r="T59" s="10">
        <v>4181</v>
      </c>
      <c r="U59" s="10">
        <v>4234</v>
      </c>
      <c r="V59" s="10">
        <v>4658</v>
      </c>
    </row>
    <row r="60" spans="1:22" ht="12.75">
      <c r="A60" s="4" t="s">
        <v>194</v>
      </c>
      <c r="B60" s="14" t="s">
        <v>242</v>
      </c>
      <c r="C60" s="9">
        <f>464+196</f>
        <v>660</v>
      </c>
      <c r="D60" s="50">
        <f>228+570</f>
        <v>798</v>
      </c>
      <c r="E60" s="9">
        <f>643+231</f>
        <v>874</v>
      </c>
      <c r="F60" s="9">
        <f>258+733</f>
        <v>991</v>
      </c>
      <c r="G60" s="9">
        <f>780+309</f>
        <v>1089</v>
      </c>
      <c r="H60" s="9">
        <f>890+286</f>
        <v>1176</v>
      </c>
      <c r="I60" s="9">
        <f>959+293</f>
        <v>1252</v>
      </c>
      <c r="J60" s="9">
        <f>989+353</f>
        <v>1342</v>
      </c>
      <c r="K60" s="9">
        <f>1094+306</f>
        <v>1400</v>
      </c>
      <c r="L60" s="9">
        <v>1911</v>
      </c>
      <c r="M60" s="9">
        <v>2065</v>
      </c>
      <c r="N60" s="9">
        <v>1926</v>
      </c>
      <c r="O60" s="9">
        <v>2213</v>
      </c>
      <c r="P60" s="9">
        <v>2109</v>
      </c>
      <c r="Q60" s="9">
        <v>2402</v>
      </c>
      <c r="R60" s="10">
        <v>2109</v>
      </c>
      <c r="S60" s="10">
        <v>2428</v>
      </c>
      <c r="T60" s="10">
        <v>2728</v>
      </c>
      <c r="U60" s="10">
        <v>2782</v>
      </c>
      <c r="V60" s="10">
        <v>3344</v>
      </c>
    </row>
    <row r="61" spans="1:22" ht="12.75">
      <c r="A61" s="4" t="s">
        <v>195</v>
      </c>
      <c r="B61" s="14" t="s">
        <v>242</v>
      </c>
      <c r="C61" s="9">
        <f>521+212</f>
        <v>733</v>
      </c>
      <c r="D61" s="50">
        <f>602+265</f>
        <v>867</v>
      </c>
      <c r="E61" s="9">
        <f>241+605</f>
        <v>846</v>
      </c>
      <c r="F61" s="9">
        <f>678+306</f>
        <v>984</v>
      </c>
      <c r="G61" s="9">
        <f>738+325</f>
        <v>1063</v>
      </c>
      <c r="H61" s="9">
        <f>912+355</f>
        <v>1267</v>
      </c>
      <c r="I61" s="9">
        <f>989+418</f>
        <v>1407</v>
      </c>
      <c r="J61" s="9">
        <f>1003+369</f>
        <v>1372</v>
      </c>
      <c r="K61" s="9">
        <f>1166+380</f>
        <v>1546</v>
      </c>
      <c r="L61" s="9">
        <v>2210</v>
      </c>
      <c r="M61" s="9">
        <v>2261</v>
      </c>
      <c r="N61" s="9">
        <v>2188</v>
      </c>
      <c r="O61" s="9">
        <v>2506</v>
      </c>
      <c r="P61" s="9">
        <v>2406</v>
      </c>
      <c r="Q61" s="9">
        <v>2688</v>
      </c>
      <c r="R61" s="10">
        <v>2618</v>
      </c>
      <c r="S61" s="10">
        <v>2610</v>
      </c>
      <c r="T61" s="10">
        <v>3160</v>
      </c>
      <c r="U61" s="10">
        <v>3202</v>
      </c>
      <c r="V61" s="10">
        <v>3769</v>
      </c>
    </row>
    <row r="62" spans="1:22" ht="12.75">
      <c r="A62" s="25" t="s">
        <v>258</v>
      </c>
      <c r="B62" s="14" t="s">
        <v>242</v>
      </c>
      <c r="C62" s="9">
        <f>826+374</f>
        <v>1200</v>
      </c>
      <c r="D62" s="50">
        <f>377+925</f>
        <v>1302</v>
      </c>
      <c r="E62" s="9">
        <f>1005+402</f>
        <v>1407</v>
      </c>
      <c r="F62" s="9">
        <f>459+1145</f>
        <v>1604</v>
      </c>
      <c r="G62" s="9">
        <f>383+896+162+343</f>
        <v>1784</v>
      </c>
      <c r="H62" s="9">
        <f>411+937+163+338</f>
        <v>1849</v>
      </c>
      <c r="I62" s="9">
        <f>457+1086+228+432</f>
        <v>2203</v>
      </c>
      <c r="J62" s="9">
        <f>480+1273+195+406</f>
        <v>2354</v>
      </c>
      <c r="K62" s="9">
        <f>604+1360+193+469</f>
        <v>2626</v>
      </c>
      <c r="L62" s="9">
        <f>SUM(L65:L67)</f>
        <v>3696</v>
      </c>
      <c r="M62" s="9">
        <f aca="true" t="shared" si="15" ref="M62:V62">SUM(M65:M67)</f>
        <v>3758</v>
      </c>
      <c r="N62" s="9">
        <f t="shared" si="15"/>
        <v>3692</v>
      </c>
      <c r="O62" s="9">
        <f t="shared" si="15"/>
        <v>4102</v>
      </c>
      <c r="P62" s="9">
        <f t="shared" si="15"/>
        <v>4529</v>
      </c>
      <c r="Q62" s="9">
        <f t="shared" si="15"/>
        <v>5689</v>
      </c>
      <c r="R62" s="9">
        <f t="shared" si="15"/>
        <v>6034</v>
      </c>
      <c r="S62" s="9">
        <f t="shared" si="15"/>
        <v>5641</v>
      </c>
      <c r="T62" s="9">
        <f t="shared" si="15"/>
        <v>6897</v>
      </c>
      <c r="U62" s="9">
        <f t="shared" si="15"/>
        <v>6767</v>
      </c>
      <c r="V62" s="9">
        <f t="shared" si="15"/>
        <v>8859</v>
      </c>
    </row>
    <row r="63" spans="1:22" ht="12.75">
      <c r="A63" s="25"/>
      <c r="B63" s="14"/>
      <c r="C63" s="9">
        <f>C79-SUM(C53:C62)-C72-C73</f>
        <v>-1</v>
      </c>
      <c r="D63" s="9">
        <f aca="true" t="shared" si="16" ref="D63:K63">D79-SUM(D53:D62)-D72-D73</f>
        <v>0</v>
      </c>
      <c r="E63" s="9">
        <f t="shared" si="16"/>
        <v>0</v>
      </c>
      <c r="F63" s="9">
        <f t="shared" si="16"/>
        <v>0</v>
      </c>
      <c r="G63" s="9">
        <f t="shared" si="16"/>
        <v>-2</v>
      </c>
      <c r="H63" s="9">
        <f t="shared" si="16"/>
        <v>0</v>
      </c>
      <c r="I63" s="9">
        <f t="shared" si="16"/>
        <v>-2</v>
      </c>
      <c r="J63" s="9">
        <f t="shared" si="16"/>
        <v>2</v>
      </c>
      <c r="K63" s="9">
        <f t="shared" si="16"/>
        <v>0</v>
      </c>
      <c r="L63" s="9">
        <f>L78-SUM(L53:L62)-L72-L73</f>
        <v>0</v>
      </c>
      <c r="M63" s="9">
        <f aca="true" t="shared" si="17" ref="M63:V63">M78-SUM(M53:M62)-M72-M73</f>
        <v>1</v>
      </c>
      <c r="N63" s="9">
        <f t="shared" si="17"/>
        <v>0</v>
      </c>
      <c r="O63" s="9">
        <f t="shared" si="17"/>
        <v>0</v>
      </c>
      <c r="P63" s="9">
        <f t="shared" si="17"/>
        <v>0</v>
      </c>
      <c r="Q63" s="9">
        <f t="shared" si="17"/>
        <v>1</v>
      </c>
      <c r="R63" s="9">
        <f t="shared" si="17"/>
        <v>-1</v>
      </c>
      <c r="S63" s="9">
        <f t="shared" si="17"/>
        <v>1</v>
      </c>
      <c r="T63" s="9">
        <f t="shared" si="17"/>
        <v>2</v>
      </c>
      <c r="U63" s="9">
        <f t="shared" si="17"/>
        <v>1</v>
      </c>
      <c r="V63" s="9">
        <f t="shared" si="17"/>
        <v>1</v>
      </c>
    </row>
    <row r="64" spans="1:22" ht="12.75">
      <c r="A64" s="25"/>
      <c r="B64" s="14"/>
      <c r="C64" s="9"/>
      <c r="D64" s="5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10"/>
      <c r="T64" s="10"/>
      <c r="U64" s="10"/>
      <c r="V64" s="10"/>
    </row>
    <row r="65" spans="1:22" ht="12.75">
      <c r="A65" s="4" t="s">
        <v>196</v>
      </c>
      <c r="B65" s="14" t="s">
        <v>242</v>
      </c>
      <c r="C65" s="14" t="s">
        <v>242</v>
      </c>
      <c r="D65" s="14" t="s">
        <v>242</v>
      </c>
      <c r="E65" s="14" t="s">
        <v>242</v>
      </c>
      <c r="F65" s="14" t="s">
        <v>242</v>
      </c>
      <c r="G65" s="14" t="s">
        <v>242</v>
      </c>
      <c r="H65" s="14" t="s">
        <v>242</v>
      </c>
      <c r="I65" s="14" t="s">
        <v>242</v>
      </c>
      <c r="J65" s="14" t="s">
        <v>242</v>
      </c>
      <c r="K65" s="14" t="s">
        <v>242</v>
      </c>
      <c r="L65" s="9">
        <v>1047</v>
      </c>
      <c r="M65" s="9">
        <v>1119</v>
      </c>
      <c r="N65" s="9">
        <v>1015</v>
      </c>
      <c r="O65" s="9">
        <v>1210</v>
      </c>
      <c r="P65" s="9">
        <v>1291</v>
      </c>
      <c r="Q65" s="9">
        <v>1525</v>
      </c>
      <c r="R65" s="10">
        <v>1470</v>
      </c>
      <c r="S65" s="10">
        <v>1292</v>
      </c>
      <c r="T65" s="10">
        <v>1864</v>
      </c>
      <c r="U65" s="10">
        <v>1697</v>
      </c>
      <c r="V65" s="10">
        <v>2175</v>
      </c>
    </row>
    <row r="66" spans="1:22" ht="12.75">
      <c r="A66" s="4" t="s">
        <v>197</v>
      </c>
      <c r="B66" s="14" t="s">
        <v>242</v>
      </c>
      <c r="C66" s="14" t="s">
        <v>242</v>
      </c>
      <c r="D66" s="14" t="s">
        <v>242</v>
      </c>
      <c r="E66" s="14" t="s">
        <v>242</v>
      </c>
      <c r="F66" s="14" t="s">
        <v>242</v>
      </c>
      <c r="G66" s="14" t="s">
        <v>242</v>
      </c>
      <c r="H66" s="14" t="s">
        <v>242</v>
      </c>
      <c r="I66" s="14" t="s">
        <v>242</v>
      </c>
      <c r="J66" s="14" t="s">
        <v>242</v>
      </c>
      <c r="K66" s="14" t="s">
        <v>242</v>
      </c>
      <c r="L66" s="9">
        <v>676</v>
      </c>
      <c r="M66" s="9">
        <v>656</v>
      </c>
      <c r="N66" s="9">
        <v>609</v>
      </c>
      <c r="O66" s="9">
        <v>715</v>
      </c>
      <c r="P66" s="9">
        <v>829</v>
      </c>
      <c r="Q66" s="9">
        <v>950</v>
      </c>
      <c r="R66" s="10">
        <v>843</v>
      </c>
      <c r="S66" s="10">
        <v>849</v>
      </c>
      <c r="T66" s="10">
        <v>1057</v>
      </c>
      <c r="U66" s="10">
        <v>989</v>
      </c>
      <c r="V66" s="10">
        <v>1241</v>
      </c>
    </row>
    <row r="67" spans="1:22" ht="12.75">
      <c r="A67" s="25" t="s">
        <v>303</v>
      </c>
      <c r="B67" s="14" t="s">
        <v>242</v>
      </c>
      <c r="C67" s="14" t="s">
        <v>242</v>
      </c>
      <c r="D67" s="14" t="s">
        <v>242</v>
      </c>
      <c r="E67" s="14" t="s">
        <v>242</v>
      </c>
      <c r="F67" s="14" t="s">
        <v>242</v>
      </c>
      <c r="G67" s="14" t="s">
        <v>242</v>
      </c>
      <c r="H67" s="14" t="s">
        <v>242</v>
      </c>
      <c r="I67" s="14" t="s">
        <v>242</v>
      </c>
      <c r="J67" s="14" t="s">
        <v>242</v>
      </c>
      <c r="K67" s="14" t="s">
        <v>242</v>
      </c>
      <c r="L67" s="9">
        <v>1973</v>
      </c>
      <c r="M67" s="9">
        <v>1983</v>
      </c>
      <c r="N67" s="9">
        <f>SUM(N69:N70)</f>
        <v>2068</v>
      </c>
      <c r="O67" s="9">
        <f aca="true" t="shared" si="18" ref="O67:V67">SUM(O69:O70)</f>
        <v>2177</v>
      </c>
      <c r="P67" s="9">
        <f t="shared" si="18"/>
        <v>2409</v>
      </c>
      <c r="Q67" s="9">
        <f t="shared" si="18"/>
        <v>3214</v>
      </c>
      <c r="R67" s="9">
        <f t="shared" si="18"/>
        <v>3721</v>
      </c>
      <c r="S67" s="9">
        <f t="shared" si="18"/>
        <v>3500</v>
      </c>
      <c r="T67" s="9">
        <f t="shared" si="18"/>
        <v>3976</v>
      </c>
      <c r="U67" s="9">
        <f t="shared" si="18"/>
        <v>4081</v>
      </c>
      <c r="V67" s="9">
        <f t="shared" si="18"/>
        <v>5443</v>
      </c>
    </row>
    <row r="68" spans="1:22" ht="12.75">
      <c r="A68" s="4"/>
      <c r="B68" s="14"/>
      <c r="C68" s="9"/>
      <c r="D68" s="5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0"/>
      <c r="S68" s="10"/>
      <c r="T68" s="10"/>
      <c r="U68" s="10"/>
      <c r="V68" s="10"/>
    </row>
    <row r="69" spans="1:22" ht="12.75">
      <c r="A69" s="4" t="s">
        <v>198</v>
      </c>
      <c r="B69" s="14" t="s">
        <v>242</v>
      </c>
      <c r="C69" s="9"/>
      <c r="D69" s="50"/>
      <c r="E69" s="9"/>
      <c r="F69" s="9"/>
      <c r="G69" s="9"/>
      <c r="H69" s="9"/>
      <c r="I69" s="9"/>
      <c r="J69" s="9"/>
      <c r="K69" s="9"/>
      <c r="L69" s="9"/>
      <c r="M69" s="9"/>
      <c r="N69" s="9">
        <v>814</v>
      </c>
      <c r="O69" s="9">
        <v>967</v>
      </c>
      <c r="P69" s="9">
        <v>1008</v>
      </c>
      <c r="Q69" s="9">
        <v>1185</v>
      </c>
      <c r="R69" s="10">
        <v>1241</v>
      </c>
      <c r="S69" s="10">
        <v>1140</v>
      </c>
      <c r="T69" s="10">
        <v>1443</v>
      </c>
      <c r="U69" s="10">
        <v>1541</v>
      </c>
      <c r="V69" s="10">
        <v>1927</v>
      </c>
    </row>
    <row r="70" spans="1:22" ht="12.75">
      <c r="A70" s="4" t="s">
        <v>199</v>
      </c>
      <c r="B70" s="14" t="s">
        <v>242</v>
      </c>
      <c r="C70" s="9"/>
      <c r="D70" s="50"/>
      <c r="E70" s="9"/>
      <c r="F70" s="9"/>
      <c r="G70" s="9"/>
      <c r="H70" s="9"/>
      <c r="I70" s="9"/>
      <c r="J70" s="9"/>
      <c r="K70" s="9"/>
      <c r="L70" s="9"/>
      <c r="M70" s="9"/>
      <c r="N70" s="9">
        <v>1254</v>
      </c>
      <c r="O70" s="9">
        <v>1210</v>
      </c>
      <c r="P70" s="9">
        <v>1401</v>
      </c>
      <c r="Q70" s="9">
        <v>2029</v>
      </c>
      <c r="R70" s="10">
        <v>2480</v>
      </c>
      <c r="S70" s="10">
        <v>2360</v>
      </c>
      <c r="T70" s="10">
        <v>2533</v>
      </c>
      <c r="U70" s="10">
        <v>2540</v>
      </c>
      <c r="V70" s="10">
        <v>3516</v>
      </c>
    </row>
    <row r="71" spans="1:22" ht="12.75">
      <c r="A71" s="4"/>
      <c r="B71" s="14"/>
      <c r="C71" s="9"/>
      <c r="D71" s="5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0"/>
      <c r="S71" s="10"/>
      <c r="T71" s="10"/>
      <c r="U71" s="10"/>
      <c r="V71" s="10"/>
    </row>
    <row r="72" spans="1:22" ht="12.75">
      <c r="A72" s="4" t="s">
        <v>248</v>
      </c>
      <c r="B72" s="14" t="s">
        <v>242</v>
      </c>
      <c r="C72" s="9">
        <f>47+32</f>
        <v>79</v>
      </c>
      <c r="D72" s="50">
        <f>62+37</f>
        <v>99</v>
      </c>
      <c r="E72" s="9">
        <f>41+62</f>
        <v>103</v>
      </c>
      <c r="F72" s="9">
        <f>61+45</f>
        <v>106</v>
      </c>
      <c r="G72" s="9">
        <f>46+33</f>
        <v>79</v>
      </c>
      <c r="H72" s="9">
        <f>53+29</f>
        <v>82</v>
      </c>
      <c r="I72" s="9">
        <f>77+49</f>
        <v>126</v>
      </c>
      <c r="J72" s="9">
        <f>83+55</f>
        <v>138</v>
      </c>
      <c r="K72" s="9">
        <f>77+32</f>
        <v>109</v>
      </c>
      <c r="L72" s="9">
        <v>532</v>
      </c>
      <c r="M72" s="9">
        <v>328</v>
      </c>
      <c r="N72" s="9">
        <v>448</v>
      </c>
      <c r="O72" s="9">
        <v>440</v>
      </c>
      <c r="P72" s="9">
        <v>659</v>
      </c>
      <c r="Q72" s="9">
        <v>1169</v>
      </c>
      <c r="R72" s="10">
        <v>1138</v>
      </c>
      <c r="S72" s="10">
        <v>1191</v>
      </c>
      <c r="T72" s="10">
        <v>1555</v>
      </c>
      <c r="U72" s="10">
        <v>1307</v>
      </c>
      <c r="V72" s="10">
        <v>842</v>
      </c>
    </row>
    <row r="73" spans="1:22" ht="12.75">
      <c r="A73" s="4" t="s">
        <v>304</v>
      </c>
      <c r="B73" s="14" t="s">
        <v>242</v>
      </c>
      <c r="C73" s="9">
        <f>2497+1545</f>
        <v>4042</v>
      </c>
      <c r="D73" s="50">
        <f>1751+2662</f>
        <v>4413</v>
      </c>
      <c r="E73" s="9">
        <f>1802+2672</f>
        <v>4474</v>
      </c>
      <c r="F73" s="9">
        <f>1516+2594</f>
        <v>4110</v>
      </c>
      <c r="G73" s="9">
        <f>2664+1624</f>
        <v>4288</v>
      </c>
      <c r="H73" s="9">
        <f>2617+1669</f>
        <v>4286</v>
      </c>
      <c r="I73" s="9">
        <f>2605+1478</f>
        <v>4083</v>
      </c>
      <c r="J73" s="9">
        <f>2562+1635</f>
        <v>4197</v>
      </c>
      <c r="K73" s="9">
        <f>2643+1749</f>
        <v>4392</v>
      </c>
      <c r="L73" s="9">
        <v>4417</v>
      </c>
      <c r="M73" s="9">
        <v>4967</v>
      </c>
      <c r="N73" s="9">
        <v>5676</v>
      </c>
      <c r="O73" s="9">
        <v>5192</v>
      </c>
      <c r="P73" s="9">
        <v>5512</v>
      </c>
      <c r="Q73" s="9"/>
      <c r="R73" s="10"/>
      <c r="S73" s="10"/>
      <c r="T73" s="10"/>
      <c r="U73" s="10"/>
      <c r="V73" s="10"/>
    </row>
    <row r="74" spans="1:22" ht="12.75">
      <c r="A74" s="4"/>
      <c r="B74" s="14"/>
      <c r="C74" s="9"/>
      <c r="D74" s="5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0"/>
      <c r="S74" s="10"/>
      <c r="T74" s="10"/>
      <c r="U74" s="10"/>
      <c r="V74" s="10"/>
    </row>
    <row r="75" spans="1:22" ht="25.5">
      <c r="A75" s="27" t="s">
        <v>204</v>
      </c>
      <c r="B75" s="14" t="s">
        <v>242</v>
      </c>
      <c r="C75" s="14" t="s">
        <v>242</v>
      </c>
      <c r="D75" s="14" t="s">
        <v>242</v>
      </c>
      <c r="E75" s="14" t="s">
        <v>242</v>
      </c>
      <c r="F75" s="14" t="s">
        <v>242</v>
      </c>
      <c r="G75" s="14" t="s">
        <v>242</v>
      </c>
      <c r="H75" s="14" t="s">
        <v>242</v>
      </c>
      <c r="I75" s="14" t="s">
        <v>242</v>
      </c>
      <c r="J75" s="14" t="s">
        <v>242</v>
      </c>
      <c r="K75" s="14" t="s">
        <v>242</v>
      </c>
      <c r="L75" s="9"/>
      <c r="M75" s="38"/>
      <c r="N75" s="38"/>
      <c r="O75" s="78">
        <v>0.18</v>
      </c>
      <c r="P75" s="38">
        <v>0.19</v>
      </c>
      <c r="Q75" s="38">
        <v>0.19</v>
      </c>
      <c r="R75" s="38">
        <v>0.17</v>
      </c>
      <c r="S75" s="38">
        <v>0.17</v>
      </c>
      <c r="T75" s="38">
        <v>0.18</v>
      </c>
      <c r="U75" s="38">
        <v>0.18</v>
      </c>
      <c r="V75" s="38">
        <v>0.2</v>
      </c>
    </row>
    <row r="76" spans="1:22" ht="25.5">
      <c r="A76" s="27" t="s">
        <v>201</v>
      </c>
      <c r="B76" s="58" t="s">
        <v>242</v>
      </c>
      <c r="C76" s="58" t="s">
        <v>242</v>
      </c>
      <c r="D76" s="58" t="s">
        <v>242</v>
      </c>
      <c r="E76" s="58" t="s">
        <v>242</v>
      </c>
      <c r="F76" s="58" t="s">
        <v>242</v>
      </c>
      <c r="G76" s="58" t="s">
        <v>242</v>
      </c>
      <c r="H76" s="58" t="s">
        <v>242</v>
      </c>
      <c r="I76" s="58" t="s">
        <v>242</v>
      </c>
      <c r="J76" s="58" t="s">
        <v>242</v>
      </c>
      <c r="K76" s="58" t="s">
        <v>242</v>
      </c>
      <c r="L76" s="38">
        <v>0.18</v>
      </c>
      <c r="M76" s="38">
        <v>0.18</v>
      </c>
      <c r="N76" s="78">
        <v>0.18</v>
      </c>
      <c r="O76" s="78">
        <v>0.18</v>
      </c>
      <c r="P76" s="38">
        <v>0.18</v>
      </c>
      <c r="Q76" s="38">
        <v>0.18</v>
      </c>
      <c r="R76" s="43">
        <v>0.17</v>
      </c>
      <c r="S76" s="43">
        <v>0.17</v>
      </c>
      <c r="T76" s="43">
        <v>0.18</v>
      </c>
      <c r="U76" s="43">
        <v>0.18</v>
      </c>
      <c r="V76" s="43">
        <v>0.19</v>
      </c>
    </row>
    <row r="78" spans="1:22" ht="12.75">
      <c r="A78" t="s">
        <v>72</v>
      </c>
      <c r="B78" s="9">
        <v>44653</v>
      </c>
      <c r="C78" s="9">
        <v>45784</v>
      </c>
      <c r="D78" s="9">
        <v>46867</v>
      </c>
      <c r="E78" s="9">
        <v>47904</v>
      </c>
      <c r="F78" s="9">
        <v>48765</v>
      </c>
      <c r="G78" s="9">
        <v>50283</v>
      </c>
      <c r="H78" s="9">
        <v>51411</v>
      </c>
      <c r="I78" s="9">
        <v>52516</v>
      </c>
      <c r="J78" s="9">
        <v>54342</v>
      </c>
      <c r="K78" s="9">
        <v>54724</v>
      </c>
      <c r="L78" s="9">
        <v>56145</v>
      </c>
      <c r="M78" s="9">
        <v>58164</v>
      </c>
      <c r="N78" s="9">
        <v>59916</v>
      </c>
      <c r="O78" s="9">
        <v>59796</v>
      </c>
      <c r="P78" s="9">
        <v>61252</v>
      </c>
      <c r="Q78" s="9">
        <v>63544</v>
      </c>
      <c r="R78" s="9">
        <v>65487</v>
      </c>
      <c r="S78" s="9">
        <v>68796</v>
      </c>
      <c r="T78" s="9">
        <v>72265</v>
      </c>
      <c r="U78" s="9">
        <v>72238</v>
      </c>
      <c r="V78" s="9">
        <v>74931</v>
      </c>
    </row>
    <row r="79" spans="1:22" ht="12.75">
      <c r="A79" t="s">
        <v>246</v>
      </c>
      <c r="B79" s="9">
        <v>35107</v>
      </c>
      <c r="C79" s="9">
        <v>36154</v>
      </c>
      <c r="D79" s="9">
        <v>37329</v>
      </c>
      <c r="E79" s="9">
        <v>37934</v>
      </c>
      <c r="F79" s="9">
        <v>38754</v>
      </c>
      <c r="G79" s="9">
        <v>40054</v>
      </c>
      <c r="H79" s="9">
        <v>41336</v>
      </c>
      <c r="I79" s="9">
        <v>41945</v>
      </c>
      <c r="J79" s="9">
        <v>43293</v>
      </c>
      <c r="K79" s="9">
        <v>43535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2" spans="1:22" ht="12.75">
      <c r="A82" s="4" t="s">
        <v>188</v>
      </c>
      <c r="B82" s="14" t="s">
        <v>242</v>
      </c>
      <c r="C82" s="31">
        <f>C53/SUM(C$53:C$62)</f>
        <v>0.0472622838234376</v>
      </c>
      <c r="D82" s="31">
        <f aca="true" t="shared" si="19" ref="D82:V82">D53/SUM(D$53:D$62)</f>
        <v>0.0425694000060944</v>
      </c>
      <c r="E82" s="31">
        <f t="shared" si="19"/>
        <v>0.03861258506460413</v>
      </c>
      <c r="F82" s="31">
        <f t="shared" si="19"/>
        <v>0.03665527824425271</v>
      </c>
      <c r="G82" s="31">
        <f t="shared" si="19"/>
        <v>0.03454846030989941</v>
      </c>
      <c r="H82" s="31">
        <f t="shared" si="19"/>
        <v>0.0337048257952824</v>
      </c>
      <c r="I82" s="31">
        <f t="shared" si="19"/>
        <v>0.034501033441093856</v>
      </c>
      <c r="J82" s="31">
        <f t="shared" si="19"/>
        <v>0.033935722353424375</v>
      </c>
      <c r="K82" s="31">
        <f t="shared" si="19"/>
        <v>0.03345801096479992</v>
      </c>
      <c r="L82" s="31">
        <f t="shared" si="19"/>
        <v>0.03666302054848035</v>
      </c>
      <c r="M82" s="31">
        <f t="shared" si="19"/>
        <v>0.044185518650223195</v>
      </c>
      <c r="N82" s="31">
        <f t="shared" si="19"/>
        <v>0.052647233789411066</v>
      </c>
      <c r="O82" s="31">
        <f t="shared" si="19"/>
        <v>0.04685769145557935</v>
      </c>
      <c r="P82" s="31">
        <f t="shared" si="19"/>
        <v>0.04061291552440951</v>
      </c>
      <c r="Q82" s="31">
        <f t="shared" si="19"/>
        <v>0.04561195369865649</v>
      </c>
      <c r="R82" s="31">
        <f t="shared" si="19"/>
        <v>0.06888888888888889</v>
      </c>
      <c r="S82" s="31">
        <f t="shared" si="19"/>
        <v>0.07637122063783208</v>
      </c>
      <c r="T82" s="31">
        <f t="shared" si="19"/>
        <v>0.06938394523957685</v>
      </c>
      <c r="U82" s="31">
        <f t="shared" si="19"/>
        <v>0.07071760891019314</v>
      </c>
      <c r="V82" s="31">
        <f t="shared" si="19"/>
        <v>0.05467822049454703</v>
      </c>
    </row>
    <row r="83" spans="1:22" ht="12.75">
      <c r="A83" s="4" t="s">
        <v>189</v>
      </c>
      <c r="B83" s="14" t="s">
        <v>242</v>
      </c>
      <c r="C83" s="31">
        <f aca="true" t="shared" si="20" ref="C83:V83">C54/SUM(C$53:C$62)</f>
        <v>0.19816445027158644</v>
      </c>
      <c r="D83" s="31">
        <f t="shared" si="20"/>
        <v>0.19084620775817412</v>
      </c>
      <c r="E83" s="31">
        <f t="shared" si="20"/>
        <v>0.1816410348652457</v>
      </c>
      <c r="F83" s="31">
        <f t="shared" si="20"/>
        <v>0.1752562395043141</v>
      </c>
      <c r="G83" s="31">
        <f t="shared" si="20"/>
        <v>0.17445151167026254</v>
      </c>
      <c r="H83" s="31">
        <f t="shared" si="20"/>
        <v>0.176828608526293</v>
      </c>
      <c r="I83" s="31">
        <f t="shared" si="20"/>
        <v>0.17059727595527055</v>
      </c>
      <c r="J83" s="31">
        <f t="shared" si="20"/>
        <v>0.18015196632097752</v>
      </c>
      <c r="K83" s="31">
        <f t="shared" si="20"/>
        <v>0.17161961367013373</v>
      </c>
      <c r="L83" s="31">
        <f t="shared" si="20"/>
        <v>0.17552152511914992</v>
      </c>
      <c r="M83" s="31">
        <f t="shared" si="20"/>
        <v>0.1721078913520466</v>
      </c>
      <c r="N83" s="31">
        <f t="shared" si="20"/>
        <v>0.18162552052349792</v>
      </c>
      <c r="O83" s="31">
        <f t="shared" si="20"/>
        <v>0.16193412598774093</v>
      </c>
      <c r="P83" s="31">
        <f t="shared" si="20"/>
        <v>0.14654781140502168</v>
      </c>
      <c r="Q83" s="31">
        <f t="shared" si="20"/>
        <v>0.15342931349600794</v>
      </c>
      <c r="R83" s="31">
        <f t="shared" si="20"/>
        <v>0.17774669774669774</v>
      </c>
      <c r="S83" s="31">
        <f t="shared" si="20"/>
        <v>0.1773859534938761</v>
      </c>
      <c r="T83" s="31">
        <f t="shared" si="20"/>
        <v>0.1574220738813147</v>
      </c>
      <c r="U83" s="31">
        <f t="shared" si="20"/>
        <v>0.15822642041449317</v>
      </c>
      <c r="V83" s="31">
        <f t="shared" si="20"/>
        <v>0.14524619371558148</v>
      </c>
    </row>
    <row r="84" spans="1:22" ht="12.75">
      <c r="A84" s="4" t="s">
        <v>190</v>
      </c>
      <c r="B84" s="14" t="s">
        <v>242</v>
      </c>
      <c r="C84" s="31">
        <f aca="true" t="shared" si="21" ref="C84:V84">C55/SUM(C$53:C$62)</f>
        <v>0.2417119310732347</v>
      </c>
      <c r="D84" s="31">
        <f t="shared" si="21"/>
        <v>0.2329280555809489</v>
      </c>
      <c r="E84" s="31">
        <f t="shared" si="21"/>
        <v>0.2321551698294211</v>
      </c>
      <c r="F84" s="31">
        <f t="shared" si="21"/>
        <v>0.2218426081417569</v>
      </c>
      <c r="G84" s="31">
        <f t="shared" si="21"/>
        <v>0.21527641570231723</v>
      </c>
      <c r="H84" s="31">
        <f t="shared" si="21"/>
        <v>0.2128056697684484</v>
      </c>
      <c r="I84" s="31">
        <f t="shared" si="21"/>
        <v>0.21039800731358313</v>
      </c>
      <c r="J84" s="31">
        <f t="shared" si="21"/>
        <v>0.2104425505698737</v>
      </c>
      <c r="K84" s="31">
        <f t="shared" si="21"/>
        <v>0.20640979658759032</v>
      </c>
      <c r="L84" s="31">
        <f t="shared" si="21"/>
        <v>0.1900343776857567</v>
      </c>
      <c r="M84" s="31">
        <f t="shared" si="21"/>
        <v>0.18534841492017856</v>
      </c>
      <c r="N84" s="31">
        <f t="shared" si="21"/>
        <v>0.17863251041046996</v>
      </c>
      <c r="O84" s="31">
        <f t="shared" si="21"/>
        <v>0.17585481131378775</v>
      </c>
      <c r="P84" s="31">
        <f t="shared" si="21"/>
        <v>0.17706650206060165</v>
      </c>
      <c r="Q84" s="31">
        <f t="shared" si="21"/>
        <v>0.18052393625549107</v>
      </c>
      <c r="R84" s="31">
        <f t="shared" si="21"/>
        <v>0.17476301476301476</v>
      </c>
      <c r="S84" s="31">
        <f t="shared" si="21"/>
        <v>0.17673510443169044</v>
      </c>
      <c r="T84" s="31">
        <f t="shared" si="21"/>
        <v>0.17418113933359733</v>
      </c>
      <c r="U84" s="31">
        <f t="shared" si="21"/>
        <v>0.16801071478922883</v>
      </c>
      <c r="V84" s="31">
        <f t="shared" si="21"/>
        <v>0.15403304178814384</v>
      </c>
    </row>
    <row r="85" spans="1:22" ht="12.75">
      <c r="A85" s="4" t="s">
        <v>200</v>
      </c>
      <c r="B85" s="14" t="s">
        <v>242</v>
      </c>
      <c r="C85" s="31">
        <f aca="true" t="shared" si="22" ref="C85:V85">C56/SUM(C$53:C$62)</f>
        <v>0.19744646313292127</v>
      </c>
      <c r="D85" s="31">
        <f t="shared" si="22"/>
        <v>0.19968309108084226</v>
      </c>
      <c r="E85" s="31">
        <f t="shared" si="22"/>
        <v>0.19489162694486914</v>
      </c>
      <c r="F85" s="31">
        <f t="shared" si="22"/>
        <v>0.19616075047773468</v>
      </c>
      <c r="G85" s="31">
        <f t="shared" si="22"/>
        <v>0.18700439911457312</v>
      </c>
      <c r="H85" s="31">
        <f t="shared" si="22"/>
        <v>0.1825632979874486</v>
      </c>
      <c r="I85" s="31">
        <f t="shared" si="22"/>
        <v>0.18350204038369813</v>
      </c>
      <c r="J85" s="31">
        <f t="shared" si="22"/>
        <v>0.1771229078960879</v>
      </c>
      <c r="K85" s="31">
        <f t="shared" si="22"/>
        <v>0.17174770712711995</v>
      </c>
      <c r="L85" s="31">
        <f t="shared" si="22"/>
        <v>0.1648761622001719</v>
      </c>
      <c r="M85" s="31">
        <f t="shared" si="22"/>
        <v>0.1627638647196792</v>
      </c>
      <c r="N85" s="31">
        <f t="shared" si="22"/>
        <v>0.16247769185008923</v>
      </c>
      <c r="O85" s="31">
        <f t="shared" si="22"/>
        <v>0.16483273022671885</v>
      </c>
      <c r="P85" s="31">
        <f t="shared" si="22"/>
        <v>0.17959005827780905</v>
      </c>
      <c r="Q85" s="31">
        <f t="shared" si="22"/>
        <v>0.17053580017314907</v>
      </c>
      <c r="R85" s="31">
        <f t="shared" si="22"/>
        <v>0.159005439005439</v>
      </c>
      <c r="S85" s="31">
        <f t="shared" si="22"/>
        <v>0.1643098041536004</v>
      </c>
      <c r="T85" s="31">
        <f t="shared" si="22"/>
        <v>0.1543389715449454</v>
      </c>
      <c r="U85" s="31">
        <f t="shared" si="22"/>
        <v>0.15740871281545185</v>
      </c>
      <c r="V85" s="31">
        <f t="shared" si="22"/>
        <v>0.15520732102364757</v>
      </c>
    </row>
    <row r="86" spans="1:22" ht="12.75">
      <c r="A86" s="4" t="s">
        <v>191</v>
      </c>
      <c r="B86" s="14" t="s">
        <v>242</v>
      </c>
      <c r="C86" s="31">
        <f aca="true" t="shared" si="23" ref="C86:V86">C57/SUM(C$53:C$62)</f>
        <v>0.12421177498907411</v>
      </c>
      <c r="D86" s="31">
        <f t="shared" si="23"/>
        <v>0.12819575220160284</v>
      </c>
      <c r="E86" s="31">
        <f t="shared" si="23"/>
        <v>0.13523398387145127</v>
      </c>
      <c r="F86" s="31">
        <f t="shared" si="23"/>
        <v>0.1344605941282066</v>
      </c>
      <c r="G86" s="31">
        <f t="shared" si="23"/>
        <v>0.13931463476141107</v>
      </c>
      <c r="H86" s="31">
        <f t="shared" si="23"/>
        <v>0.13987773209262064</v>
      </c>
      <c r="I86" s="31">
        <f t="shared" si="23"/>
        <v>0.13368487996184217</v>
      </c>
      <c r="J86" s="31">
        <f t="shared" si="23"/>
        <v>0.1301725023102988</v>
      </c>
      <c r="K86" s="31">
        <f t="shared" si="23"/>
        <v>0.12699185325613568</v>
      </c>
      <c r="L86" s="31">
        <f t="shared" si="23"/>
        <v>0.12641612625986406</v>
      </c>
      <c r="M86" s="31">
        <f t="shared" si="23"/>
        <v>0.13223500037830066</v>
      </c>
      <c r="N86" s="31">
        <f t="shared" si="23"/>
        <v>0.1271192742415229</v>
      </c>
      <c r="O86" s="31">
        <f t="shared" si="23"/>
        <v>0.12964330551657927</v>
      </c>
      <c r="P86" s="31">
        <f t="shared" si="23"/>
        <v>0.1363628111326955</v>
      </c>
      <c r="Q86" s="31">
        <f t="shared" si="23"/>
        <v>0.13104819315740532</v>
      </c>
      <c r="R86" s="31">
        <f t="shared" si="23"/>
        <v>0.11742035742035742</v>
      </c>
      <c r="S86" s="31">
        <f t="shared" si="23"/>
        <v>0.11480089935506775</v>
      </c>
      <c r="T86" s="31">
        <f t="shared" si="23"/>
        <v>0.12083498331164791</v>
      </c>
      <c r="U86" s="31">
        <f t="shared" si="23"/>
        <v>0.1194980967150712</v>
      </c>
      <c r="V86" s="31">
        <f t="shared" si="23"/>
        <v>0.12076179678220494</v>
      </c>
    </row>
    <row r="87" spans="1:22" ht="12.75">
      <c r="A87" s="4" t="s">
        <v>192</v>
      </c>
      <c r="B87" s="14" t="s">
        <v>242</v>
      </c>
      <c r="C87" s="31">
        <f aca="true" t="shared" si="24" ref="C87:V87">C58/SUM(C$53:C$62)</f>
        <v>0.07279765249422489</v>
      </c>
      <c r="D87" s="31">
        <f t="shared" si="24"/>
        <v>0.07362037968126275</v>
      </c>
      <c r="E87" s="31">
        <f t="shared" si="24"/>
        <v>0.07830440387325</v>
      </c>
      <c r="F87" s="31">
        <f t="shared" si="24"/>
        <v>0.08257571370664196</v>
      </c>
      <c r="G87" s="31">
        <f t="shared" si="24"/>
        <v>0.08666535907422455</v>
      </c>
      <c r="H87" s="31">
        <f t="shared" si="24"/>
        <v>0.08615559402726683</v>
      </c>
      <c r="I87" s="31">
        <f t="shared" si="24"/>
        <v>0.0864645715194234</v>
      </c>
      <c r="J87" s="31">
        <f t="shared" si="24"/>
        <v>0.08476229592360612</v>
      </c>
      <c r="K87" s="31">
        <f t="shared" si="24"/>
        <v>0.08997284418711893</v>
      </c>
      <c r="L87" s="31">
        <f t="shared" si="24"/>
        <v>0.09160871943120556</v>
      </c>
      <c r="M87" s="31">
        <f t="shared" si="24"/>
        <v>0.09054626617235378</v>
      </c>
      <c r="N87" s="31">
        <f t="shared" si="24"/>
        <v>0.0939359012492564</v>
      </c>
      <c r="O87" s="31">
        <f t="shared" si="24"/>
        <v>0.09594933904438373</v>
      </c>
      <c r="P87" s="31">
        <f t="shared" si="24"/>
        <v>0.09447903995933261</v>
      </c>
      <c r="Q87" s="31">
        <f t="shared" si="24"/>
        <v>0.08854650976368358</v>
      </c>
      <c r="R87" s="31">
        <f t="shared" si="24"/>
        <v>0.08077700077700077</v>
      </c>
      <c r="S87" s="31">
        <f t="shared" si="24"/>
        <v>0.08140050884563044</v>
      </c>
      <c r="T87" s="31">
        <f t="shared" si="24"/>
        <v>0.08389432596028738</v>
      </c>
      <c r="U87" s="31">
        <f t="shared" si="24"/>
        <v>0.08667700549837869</v>
      </c>
      <c r="V87" s="31">
        <f t="shared" si="24"/>
        <v>0.09162077529424469</v>
      </c>
    </row>
    <row r="88" spans="1:22" ht="12.75">
      <c r="A88" s="4" t="s">
        <v>193</v>
      </c>
      <c r="B88" s="14" t="s">
        <v>242</v>
      </c>
      <c r="C88" s="31">
        <f aca="true" t="shared" si="25" ref="C88:V88">C59/SUM(C$53:C$62)</f>
        <v>0.037460198539052254</v>
      </c>
      <c r="D88" s="31">
        <f t="shared" si="25"/>
        <v>0.04174665569674254</v>
      </c>
      <c r="E88" s="31">
        <f t="shared" si="25"/>
        <v>0.04541775339508949</v>
      </c>
      <c r="F88" s="31">
        <f t="shared" si="25"/>
        <v>0.04942382303549713</v>
      </c>
      <c r="G88" s="31">
        <f t="shared" si="25"/>
        <v>0.052453136820869176</v>
      </c>
      <c r="H88" s="31">
        <f t="shared" si="25"/>
        <v>0.05196386063622593</v>
      </c>
      <c r="I88" s="31">
        <f t="shared" si="25"/>
        <v>0.05201653505750172</v>
      </c>
      <c r="J88" s="31">
        <f t="shared" si="25"/>
        <v>0.05331656227538761</v>
      </c>
      <c r="K88" s="31">
        <f t="shared" si="25"/>
        <v>0.057052825741661116</v>
      </c>
      <c r="L88" s="31">
        <f t="shared" si="25"/>
        <v>0.06219235877802953</v>
      </c>
      <c r="M88" s="31">
        <f t="shared" si="25"/>
        <v>0.0599039116289627</v>
      </c>
      <c r="N88" s="31">
        <f t="shared" si="25"/>
        <v>0.05844735276621059</v>
      </c>
      <c r="O88" s="31">
        <f t="shared" si="25"/>
        <v>0.06207074809836792</v>
      </c>
      <c r="P88" s="31">
        <f t="shared" si="25"/>
        <v>0.06114631179535593</v>
      </c>
      <c r="Q88" s="31">
        <f t="shared" si="25"/>
        <v>0.057491903677814475</v>
      </c>
      <c r="R88" s="31">
        <f t="shared" si="25"/>
        <v>0.05417249417249417</v>
      </c>
      <c r="S88" s="31">
        <f t="shared" si="25"/>
        <v>0.05103248328501272</v>
      </c>
      <c r="T88" s="31">
        <f t="shared" si="25"/>
        <v>0.05913050857045879</v>
      </c>
      <c r="U88" s="31">
        <f t="shared" si="25"/>
        <v>0.05969265473001551</v>
      </c>
      <c r="V88" s="31">
        <f t="shared" si="25"/>
        <v>0.062871180218119</v>
      </c>
    </row>
    <row r="89" spans="1:22" ht="12.75">
      <c r="A89" s="4" t="s">
        <v>194</v>
      </c>
      <c r="B89" s="14" t="s">
        <v>242</v>
      </c>
      <c r="C89" s="31">
        <f aca="true" t="shared" si="26" ref="C89:V89">C60/SUM(C$53:C$62)</f>
        <v>0.02060310919647874</v>
      </c>
      <c r="D89" s="31">
        <f t="shared" si="26"/>
        <v>0.024316665143066095</v>
      </c>
      <c r="E89" s="31">
        <f t="shared" si="26"/>
        <v>0.02620139700812423</v>
      </c>
      <c r="F89" s="31">
        <f t="shared" si="26"/>
        <v>0.028693033759916612</v>
      </c>
      <c r="G89" s="31">
        <f t="shared" si="26"/>
        <v>0.03051360363137101</v>
      </c>
      <c r="H89" s="31">
        <f t="shared" si="26"/>
        <v>0.031811296256221595</v>
      </c>
      <c r="I89" s="31">
        <f t="shared" si="26"/>
        <v>0.03317610896178918</v>
      </c>
      <c r="J89" s="31">
        <f t="shared" si="26"/>
        <v>0.034449122086456514</v>
      </c>
      <c r="K89" s="31">
        <f t="shared" si="26"/>
        <v>0.0358661679561408</v>
      </c>
      <c r="L89" s="31">
        <f t="shared" si="26"/>
        <v>0.03732713493241659</v>
      </c>
      <c r="M89" s="31">
        <f t="shared" si="26"/>
        <v>0.039059544525989254</v>
      </c>
      <c r="N89" s="31">
        <f t="shared" si="26"/>
        <v>0.035804580606781676</v>
      </c>
      <c r="O89" s="31">
        <f t="shared" si="26"/>
        <v>0.04085739605642124</v>
      </c>
      <c r="P89" s="31">
        <f t="shared" si="26"/>
        <v>0.03828906519489479</v>
      </c>
      <c r="Q89" s="31">
        <f t="shared" si="26"/>
        <v>0.038509635425016835</v>
      </c>
      <c r="R89" s="31">
        <f t="shared" si="26"/>
        <v>0.032773892773892775</v>
      </c>
      <c r="S89" s="31">
        <f t="shared" si="26"/>
        <v>0.03591503461333649</v>
      </c>
      <c r="T89" s="31">
        <f t="shared" si="26"/>
        <v>0.038581207218419414</v>
      </c>
      <c r="U89" s="31">
        <f t="shared" si="26"/>
        <v>0.03922176794022275</v>
      </c>
      <c r="V89" s="31">
        <f t="shared" si="26"/>
        <v>0.045135514523269624</v>
      </c>
    </row>
    <row r="90" spans="1:22" ht="12.75">
      <c r="A90" s="4" t="s">
        <v>195</v>
      </c>
      <c r="B90" s="14" t="s">
        <v>242</v>
      </c>
      <c r="C90" s="31">
        <f aca="true" t="shared" si="27" ref="C90:V90">C61/SUM(C$53:C$62)</f>
        <v>0.022881937940937753</v>
      </c>
      <c r="D90" s="31">
        <f t="shared" si="27"/>
        <v>0.02641923393363196</v>
      </c>
      <c r="E90" s="31">
        <f t="shared" si="27"/>
        <v>0.025361992984980663</v>
      </c>
      <c r="F90" s="31">
        <f t="shared" si="27"/>
        <v>0.028490358445769876</v>
      </c>
      <c r="G90" s="31">
        <f t="shared" si="27"/>
        <v>0.029785087842192273</v>
      </c>
      <c r="H90" s="31">
        <f t="shared" si="27"/>
        <v>0.03427288465700065</v>
      </c>
      <c r="I90" s="31">
        <f t="shared" si="27"/>
        <v>0.03728337484763369</v>
      </c>
      <c r="J90" s="31">
        <f t="shared" si="27"/>
        <v>0.03521922168600472</v>
      </c>
      <c r="K90" s="31">
        <f t="shared" si="27"/>
        <v>0.039606496900138344</v>
      </c>
      <c r="L90" s="31">
        <f t="shared" si="27"/>
        <v>0.04316743495585593</v>
      </c>
      <c r="M90" s="31">
        <f t="shared" si="27"/>
        <v>0.0427668911250662</v>
      </c>
      <c r="N90" s="31">
        <f t="shared" si="27"/>
        <v>0.04067519333729923</v>
      </c>
      <c r="O90" s="31">
        <f t="shared" si="27"/>
        <v>0.04626689313935455</v>
      </c>
      <c r="P90" s="31">
        <f t="shared" si="27"/>
        <v>0.0436811241625969</v>
      </c>
      <c r="Q90" s="31">
        <f t="shared" si="27"/>
        <v>0.04309487927662167</v>
      </c>
      <c r="R90" s="31">
        <f t="shared" si="27"/>
        <v>0.040683760683760686</v>
      </c>
      <c r="S90" s="31">
        <f t="shared" si="27"/>
        <v>0.03860718300692267</v>
      </c>
      <c r="T90" s="31">
        <f t="shared" si="27"/>
        <v>0.044690841206087004</v>
      </c>
      <c r="U90" s="31">
        <f t="shared" si="27"/>
        <v>0.04514309882983223</v>
      </c>
      <c r="V90" s="31">
        <f t="shared" si="27"/>
        <v>0.050871936076017706</v>
      </c>
    </row>
    <row r="91" spans="1:22" ht="12.75">
      <c r="A91" s="25" t="s">
        <v>258</v>
      </c>
      <c r="B91" s="14" t="s">
        <v>242</v>
      </c>
      <c r="C91" s="31">
        <f aca="true" t="shared" si="28" ref="C91:V91">C62/SUM(C$53:C$62)</f>
        <v>0.037460198539052254</v>
      </c>
      <c r="D91" s="31">
        <f t="shared" si="28"/>
        <v>0.039674558917634155</v>
      </c>
      <c r="E91" s="31">
        <f t="shared" si="28"/>
        <v>0.0421800521629643</v>
      </c>
      <c r="F91" s="31">
        <f t="shared" si="28"/>
        <v>0.046441600555909436</v>
      </c>
      <c r="G91" s="31">
        <f t="shared" si="28"/>
        <v>0.0499873910728796</v>
      </c>
      <c r="H91" s="31">
        <f t="shared" si="28"/>
        <v>0.05001623025319195</v>
      </c>
      <c r="I91" s="31">
        <f t="shared" si="28"/>
        <v>0.058376172558164185</v>
      </c>
      <c r="J91" s="31">
        <f t="shared" si="28"/>
        <v>0.06042714857788274</v>
      </c>
      <c r="K91" s="31">
        <f t="shared" si="28"/>
        <v>0.06727468360916124</v>
      </c>
      <c r="L91" s="31">
        <f t="shared" si="28"/>
        <v>0.07219314008906946</v>
      </c>
      <c r="M91" s="31">
        <f t="shared" si="28"/>
        <v>0.07108269652719981</v>
      </c>
      <c r="N91" s="31">
        <f t="shared" si="28"/>
        <v>0.06863474122546104</v>
      </c>
      <c r="O91" s="31">
        <f t="shared" si="28"/>
        <v>0.07573295916106638</v>
      </c>
      <c r="P91" s="31">
        <f t="shared" si="28"/>
        <v>0.08222436048728236</v>
      </c>
      <c r="Q91" s="31">
        <f t="shared" si="28"/>
        <v>0.09120787507615352</v>
      </c>
      <c r="R91" s="31">
        <f t="shared" si="28"/>
        <v>0.09376845376845377</v>
      </c>
      <c r="S91" s="31">
        <f t="shared" si="28"/>
        <v>0.08344180817703095</v>
      </c>
      <c r="T91" s="31">
        <f t="shared" si="28"/>
        <v>0.09754200373366521</v>
      </c>
      <c r="U91" s="31">
        <f t="shared" si="28"/>
        <v>0.09540391935711265</v>
      </c>
      <c r="V91" s="31">
        <f t="shared" si="28"/>
        <v>0.11957402008422417</v>
      </c>
    </row>
    <row r="92" spans="3:22" ht="12.75">
      <c r="C92" s="59">
        <f>SUM(C82:C91)</f>
        <v>1</v>
      </c>
      <c r="D92" s="59">
        <f aca="true" t="shared" si="29" ref="D92:V92">SUM(D82:D91)</f>
        <v>1</v>
      </c>
      <c r="E92" s="59">
        <f t="shared" si="29"/>
        <v>0.9999999999999999</v>
      </c>
      <c r="F92" s="59">
        <f t="shared" si="29"/>
        <v>1</v>
      </c>
      <c r="G92" s="59">
        <f t="shared" si="29"/>
        <v>1</v>
      </c>
      <c r="H92" s="59">
        <f t="shared" si="29"/>
        <v>0.9999999999999999</v>
      </c>
      <c r="I92" s="59">
        <f t="shared" si="29"/>
        <v>1</v>
      </c>
      <c r="J92" s="59">
        <f t="shared" si="29"/>
        <v>1</v>
      </c>
      <c r="K92" s="59">
        <f t="shared" si="29"/>
        <v>1.0000000000000002</v>
      </c>
      <c r="L92" s="59">
        <f t="shared" si="29"/>
        <v>1</v>
      </c>
      <c r="M92" s="59">
        <f t="shared" si="29"/>
        <v>0.9999999999999999</v>
      </c>
      <c r="N92" s="59">
        <f t="shared" si="29"/>
        <v>1</v>
      </c>
      <c r="O92" s="59">
        <f t="shared" si="29"/>
        <v>1</v>
      </c>
      <c r="P92" s="59">
        <f t="shared" si="29"/>
        <v>1.0000000000000002</v>
      </c>
      <c r="Q92" s="59">
        <f t="shared" si="29"/>
        <v>1</v>
      </c>
      <c r="R92" s="59">
        <f t="shared" si="29"/>
        <v>1</v>
      </c>
      <c r="S92" s="59">
        <f t="shared" si="29"/>
        <v>1</v>
      </c>
      <c r="T92" s="59">
        <f t="shared" si="29"/>
        <v>0.9999999999999999</v>
      </c>
      <c r="U92" s="59">
        <f t="shared" si="29"/>
        <v>1</v>
      </c>
      <c r="V92" s="59">
        <f t="shared" si="29"/>
        <v>1</v>
      </c>
    </row>
    <row r="94" spans="1:22" ht="12.75">
      <c r="A94" s="4" t="s">
        <v>188</v>
      </c>
      <c r="C94" s="59">
        <f>C82-Percentages!C228</f>
        <v>0</v>
      </c>
      <c r="D94" s="59">
        <f>D82-Percentages!D228</f>
        <v>0</v>
      </c>
      <c r="E94" s="59">
        <f>E82-Percentages!E228</f>
        <v>0</v>
      </c>
      <c r="F94" s="59">
        <f>F82-Percentages!F228</f>
        <v>0</v>
      </c>
      <c r="G94" s="59">
        <f>G82-Percentages!G228</f>
        <v>0</v>
      </c>
      <c r="H94" s="59">
        <f>H82-Percentages!H228</f>
        <v>0</v>
      </c>
      <c r="I94" s="59">
        <f>I82-Percentages!I228</f>
        <v>0</v>
      </c>
      <c r="J94" s="59">
        <f>J82-Percentages!J228</f>
        <v>0</v>
      </c>
      <c r="K94" s="59">
        <f>K82-Percentages!K228</f>
        <v>0</v>
      </c>
      <c r="L94" s="59">
        <f>L82-Percentages!L228</f>
        <v>0</v>
      </c>
      <c r="M94" s="59">
        <f>M82-Percentages!M228</f>
        <v>0</v>
      </c>
      <c r="N94" s="59">
        <f>N82-Percentages!N228</f>
        <v>0</v>
      </c>
      <c r="O94" s="59">
        <f>O82-Percentages!O228</f>
        <v>0</v>
      </c>
      <c r="P94" s="59">
        <f>P82-Percentages!P228</f>
        <v>0</v>
      </c>
      <c r="Q94" s="59">
        <f>Q82-Percentages!Q228</f>
        <v>0</v>
      </c>
      <c r="R94" s="59">
        <f>R82-Percentages!R228</f>
        <v>0</v>
      </c>
      <c r="S94" s="59">
        <f>S82-Percentages!S228</f>
        <v>0</v>
      </c>
      <c r="T94" s="59">
        <f>T82-Percentages!T228</f>
        <v>0</v>
      </c>
      <c r="U94" s="59">
        <f>U82-Percentages!U228</f>
        <v>0</v>
      </c>
      <c r="V94" s="59">
        <f>V82-Percentages!V228</f>
        <v>0</v>
      </c>
    </row>
    <row r="95" spans="1:22" ht="12.75">
      <c r="A95" s="4" t="s">
        <v>189</v>
      </c>
      <c r="C95" s="59">
        <f>C83-Percentages!C229</f>
        <v>0</v>
      </c>
      <c r="D95" s="59">
        <f>D83-Percentages!D229</f>
        <v>0</v>
      </c>
      <c r="E95" s="59">
        <f>E83-Percentages!E229</f>
        <v>0</v>
      </c>
      <c r="F95" s="59">
        <f>F83-Percentages!F229</f>
        <v>0</v>
      </c>
      <c r="G95" s="59">
        <f>G83-Percentages!G229</f>
        <v>0</v>
      </c>
      <c r="H95" s="59">
        <f>H83-Percentages!H229</f>
        <v>0</v>
      </c>
      <c r="I95" s="59">
        <f>I83-Percentages!I229</f>
        <v>0</v>
      </c>
      <c r="J95" s="59">
        <f>J83-Percentages!J229</f>
        <v>0</v>
      </c>
      <c r="K95" s="59">
        <f>K83-Percentages!K229</f>
        <v>0</v>
      </c>
      <c r="L95" s="59">
        <f>L83-Percentages!L229</f>
        <v>0</v>
      </c>
      <c r="M95" s="59">
        <f>M83-Percentages!M229</f>
        <v>0</v>
      </c>
      <c r="N95" s="59">
        <f>N83-Percentages!N229</f>
        <v>0</v>
      </c>
      <c r="O95" s="59">
        <f>O83-Percentages!O229</f>
        <v>0</v>
      </c>
      <c r="P95" s="59">
        <f>P83-Percentages!P229</f>
        <v>0</v>
      </c>
      <c r="Q95" s="59">
        <f>Q83-Percentages!Q229</f>
        <v>0</v>
      </c>
      <c r="R95" s="59">
        <f>R83-Percentages!R229</f>
        <v>0</v>
      </c>
      <c r="S95" s="59">
        <f>S83-Percentages!S229</f>
        <v>0</v>
      </c>
      <c r="T95" s="59">
        <f>T83-Percentages!T229</f>
        <v>0</v>
      </c>
      <c r="U95" s="59">
        <f>U83-Percentages!U229</f>
        <v>0</v>
      </c>
      <c r="V95" s="59">
        <f>V83-Percentages!V229</f>
        <v>0</v>
      </c>
    </row>
    <row r="96" spans="1:22" ht="12.75">
      <c r="A96" s="4" t="s">
        <v>190</v>
      </c>
      <c r="C96" s="59">
        <f>C84-Percentages!C230</f>
        <v>0</v>
      </c>
      <c r="D96" s="59">
        <f>D84-Percentages!D230</f>
        <v>0</v>
      </c>
      <c r="E96" s="59">
        <f>E84-Percentages!E230</f>
        <v>0</v>
      </c>
      <c r="F96" s="59">
        <f>F84-Percentages!F230</f>
        <v>0</v>
      </c>
      <c r="G96" s="59">
        <f>G84-Percentages!G230</f>
        <v>0</v>
      </c>
      <c r="H96" s="59">
        <f>H84-Percentages!H230</f>
        <v>0</v>
      </c>
      <c r="I96" s="59">
        <f>I84-Percentages!I230</f>
        <v>0</v>
      </c>
      <c r="J96" s="59">
        <f>J84-Percentages!J230</f>
        <v>0</v>
      </c>
      <c r="K96" s="59">
        <f>K84-Percentages!K230</f>
        <v>0</v>
      </c>
      <c r="L96" s="59">
        <f>L84-Percentages!L230</f>
        <v>0</v>
      </c>
      <c r="M96" s="59">
        <f>M84-Percentages!M230</f>
        <v>0</v>
      </c>
      <c r="N96" s="59">
        <f>N84-Percentages!N230</f>
        <v>0</v>
      </c>
      <c r="O96" s="59">
        <f>O84-Percentages!O230</f>
        <v>0</v>
      </c>
      <c r="P96" s="59">
        <f>P84-Percentages!P230</f>
        <v>0</v>
      </c>
      <c r="Q96" s="59">
        <f>Q84-Percentages!Q230</f>
        <v>0</v>
      </c>
      <c r="R96" s="59">
        <f>R84-Percentages!R230</f>
        <v>0</v>
      </c>
      <c r="S96" s="59">
        <f>S84-Percentages!S230</f>
        <v>0</v>
      </c>
      <c r="T96" s="59">
        <f>T84-Percentages!T230</f>
        <v>0</v>
      </c>
      <c r="U96" s="59">
        <f>U84-Percentages!U230</f>
        <v>0</v>
      </c>
      <c r="V96" s="59">
        <f>V84-Percentages!V230</f>
        <v>0</v>
      </c>
    </row>
    <row r="97" spans="1:22" ht="12.75">
      <c r="A97" s="4" t="s">
        <v>200</v>
      </c>
      <c r="C97" s="59">
        <f>C85-Percentages!C231</f>
        <v>0</v>
      </c>
      <c r="D97" s="59">
        <f>D85-Percentages!D231</f>
        <v>0</v>
      </c>
      <c r="E97" s="59">
        <f>E85-Percentages!E231</f>
        <v>0</v>
      </c>
      <c r="F97" s="59">
        <f>F85-Percentages!F231</f>
        <v>0</v>
      </c>
      <c r="G97" s="59">
        <f>G85-Percentages!G231</f>
        <v>0</v>
      </c>
      <c r="H97" s="59">
        <f>H85-Percentages!H231</f>
        <v>0</v>
      </c>
      <c r="I97" s="59">
        <f>I85-Percentages!I231</f>
        <v>0</v>
      </c>
      <c r="J97" s="59">
        <f>J85-Percentages!J231</f>
        <v>0</v>
      </c>
      <c r="K97" s="59">
        <f>K85-Percentages!K231</f>
        <v>0</v>
      </c>
      <c r="L97" s="59">
        <f>L85-Percentages!L231</f>
        <v>0</v>
      </c>
      <c r="M97" s="59">
        <f>M85-Percentages!M231</f>
        <v>0</v>
      </c>
      <c r="N97" s="59">
        <f>N85-Percentages!N231</f>
        <v>0</v>
      </c>
      <c r="O97" s="59">
        <f>O85-Percentages!O231</f>
        <v>0</v>
      </c>
      <c r="P97" s="59">
        <f>P85-Percentages!P231</f>
        <v>0</v>
      </c>
      <c r="Q97" s="59">
        <f>Q85-Percentages!Q231</f>
        <v>0</v>
      </c>
      <c r="R97" s="59">
        <f>R85-Percentages!R231</f>
        <v>0</v>
      </c>
      <c r="S97" s="59">
        <f>S85-Percentages!S231</f>
        <v>0</v>
      </c>
      <c r="T97" s="59">
        <f>T85-Percentages!T231</f>
        <v>0</v>
      </c>
      <c r="U97" s="59">
        <f>U85-Percentages!U231</f>
        <v>0</v>
      </c>
      <c r="V97" s="59">
        <f>V85-Percentages!V231</f>
        <v>0</v>
      </c>
    </row>
    <row r="98" spans="1:22" ht="12.75">
      <c r="A98" s="4" t="s">
        <v>191</v>
      </c>
      <c r="C98" s="59">
        <f>C86-Percentages!C232</f>
        <v>0</v>
      </c>
      <c r="D98" s="59">
        <f>D86-Percentages!D232</f>
        <v>0</v>
      </c>
      <c r="E98" s="59">
        <f>E86-Percentages!E232</f>
        <v>0</v>
      </c>
      <c r="F98" s="59">
        <f>F86-Percentages!F232</f>
        <v>0</v>
      </c>
      <c r="G98" s="59">
        <f>G86-Percentages!G232</f>
        <v>0</v>
      </c>
      <c r="H98" s="59">
        <f>H86-Percentages!H232</f>
        <v>0</v>
      </c>
      <c r="I98" s="59">
        <f>I86-Percentages!I232</f>
        <v>0</v>
      </c>
      <c r="J98" s="59">
        <f>J86-Percentages!J232</f>
        <v>0</v>
      </c>
      <c r="K98" s="59">
        <f>K86-Percentages!K232</f>
        <v>0</v>
      </c>
      <c r="L98" s="59">
        <f>L86-Percentages!L232</f>
        <v>0</v>
      </c>
      <c r="M98" s="59">
        <f>M86-Percentages!M232</f>
        <v>0</v>
      </c>
      <c r="N98" s="59">
        <f>N86-Percentages!N232</f>
        <v>0</v>
      </c>
      <c r="O98" s="59">
        <f>O86-Percentages!O232</f>
        <v>0</v>
      </c>
      <c r="P98" s="59">
        <f>P86-Percentages!P232</f>
        <v>0</v>
      </c>
      <c r="Q98" s="59">
        <f>Q86-Percentages!Q232</f>
        <v>0</v>
      </c>
      <c r="R98" s="59">
        <f>R86-Percentages!R232</f>
        <v>0</v>
      </c>
      <c r="S98" s="59">
        <f>S86-Percentages!S232</f>
        <v>0</v>
      </c>
      <c r="T98" s="59">
        <f>T86-Percentages!T232</f>
        <v>0</v>
      </c>
      <c r="U98" s="59">
        <f>U86-Percentages!U232</f>
        <v>0</v>
      </c>
      <c r="V98" s="59">
        <f>V86-Percentages!V232</f>
        <v>0</v>
      </c>
    </row>
    <row r="99" spans="1:22" ht="12.75">
      <c r="A99" s="4" t="s">
        <v>192</v>
      </c>
      <c r="C99" s="59">
        <f>C87-Percentages!C233</f>
        <v>0</v>
      </c>
      <c r="D99" s="59">
        <f>D87-Percentages!D233</f>
        <v>0</v>
      </c>
      <c r="E99" s="59">
        <f>E87-Percentages!E233</f>
        <v>0</v>
      </c>
      <c r="F99" s="59">
        <f>F87-Percentages!F233</f>
        <v>0</v>
      </c>
      <c r="G99" s="59">
        <f>G87-Percentages!G233</f>
        <v>0</v>
      </c>
      <c r="H99" s="59">
        <f>H87-Percentages!H233</f>
        <v>0</v>
      </c>
      <c r="I99" s="59">
        <f>I87-Percentages!I233</f>
        <v>0</v>
      </c>
      <c r="J99" s="59">
        <f>J87-Percentages!J233</f>
        <v>0</v>
      </c>
      <c r="K99" s="59">
        <f>K87-Percentages!K233</f>
        <v>0</v>
      </c>
      <c r="L99" s="59">
        <f>L87-Percentages!L233</f>
        <v>0</v>
      </c>
      <c r="M99" s="59">
        <f>M87-Percentages!M233</f>
        <v>0</v>
      </c>
      <c r="N99" s="59">
        <f>N87-Percentages!N233</f>
        <v>0</v>
      </c>
      <c r="O99" s="59">
        <f>O87-Percentages!O233</f>
        <v>0</v>
      </c>
      <c r="P99" s="59">
        <f>P87-Percentages!P233</f>
        <v>0</v>
      </c>
      <c r="Q99" s="59">
        <f>Q87-Percentages!Q233</f>
        <v>0</v>
      </c>
      <c r="R99" s="59">
        <f>R87-Percentages!R233</f>
        <v>0</v>
      </c>
      <c r="S99" s="59">
        <f>S87-Percentages!S233</f>
        <v>0</v>
      </c>
      <c r="T99" s="59">
        <f>T87-Percentages!T233</f>
        <v>0</v>
      </c>
      <c r="U99" s="59">
        <f>U87-Percentages!U233</f>
        <v>0</v>
      </c>
      <c r="V99" s="59">
        <f>V87-Percentages!V233</f>
        <v>0</v>
      </c>
    </row>
    <row r="100" spans="1:22" ht="12.75">
      <c r="A100" s="4" t="s">
        <v>193</v>
      </c>
      <c r="C100" s="59">
        <f>C88-Percentages!C234</f>
        <v>0</v>
      </c>
      <c r="D100" s="59">
        <f>D88-Percentages!D234</f>
        <v>0</v>
      </c>
      <c r="E100" s="59">
        <f>E88-Percentages!E234</f>
        <v>0</v>
      </c>
      <c r="F100" s="59">
        <f>F88-Percentages!F234</f>
        <v>0</v>
      </c>
      <c r="G100" s="59">
        <f>G88-Percentages!G234</f>
        <v>0</v>
      </c>
      <c r="H100" s="59">
        <f>H88-Percentages!H234</f>
        <v>0</v>
      </c>
      <c r="I100" s="59">
        <f>I88-Percentages!I234</f>
        <v>0</v>
      </c>
      <c r="J100" s="59">
        <f>J88-Percentages!J234</f>
        <v>0</v>
      </c>
      <c r="K100" s="59">
        <f>K88-Percentages!K234</f>
        <v>0</v>
      </c>
      <c r="L100" s="59">
        <f>L88-Percentages!L234</f>
        <v>0</v>
      </c>
      <c r="M100" s="59">
        <f>M88-Percentages!M234</f>
        <v>0</v>
      </c>
      <c r="N100" s="59">
        <f>N88-Percentages!N234</f>
        <v>0</v>
      </c>
      <c r="O100" s="59">
        <f>O88-Percentages!O234</f>
        <v>0</v>
      </c>
      <c r="P100" s="59">
        <f>P88-Percentages!P234</f>
        <v>0</v>
      </c>
      <c r="Q100" s="59">
        <f>Q88-Percentages!Q234</f>
        <v>0</v>
      </c>
      <c r="R100" s="59">
        <f>R88-Percentages!R234</f>
        <v>0</v>
      </c>
      <c r="S100" s="59">
        <f>S88-Percentages!S234</f>
        <v>0</v>
      </c>
      <c r="T100" s="59">
        <f>T88-Percentages!T234</f>
        <v>0</v>
      </c>
      <c r="U100" s="59">
        <f>U88-Percentages!U234</f>
        <v>0</v>
      </c>
      <c r="V100" s="59">
        <f>V88-Percentages!V234</f>
        <v>0</v>
      </c>
    </row>
    <row r="101" spans="1:22" ht="12.75">
      <c r="A101" s="4" t="s">
        <v>194</v>
      </c>
      <c r="C101" s="59">
        <f>C89-Percentages!C235</f>
        <v>0</v>
      </c>
      <c r="D101" s="59">
        <f>D89-Percentages!D235</f>
        <v>0</v>
      </c>
      <c r="E101" s="59">
        <f>E89-Percentages!E235</f>
        <v>0</v>
      </c>
      <c r="F101" s="59">
        <f>F89-Percentages!F235</f>
        <v>0</v>
      </c>
      <c r="G101" s="59">
        <f>G89-Percentages!G235</f>
        <v>0</v>
      </c>
      <c r="H101" s="59">
        <f>H89-Percentages!H235</f>
        <v>0</v>
      </c>
      <c r="I101" s="59">
        <f>I89-Percentages!I235</f>
        <v>0</v>
      </c>
      <c r="J101" s="59">
        <f>J89-Percentages!J235</f>
        <v>0</v>
      </c>
      <c r="K101" s="59">
        <f>K89-Percentages!K235</f>
        <v>0</v>
      </c>
      <c r="L101" s="59">
        <f>L89-Percentages!L235</f>
        <v>0</v>
      </c>
      <c r="M101" s="59">
        <f>M89-Percentages!M235</f>
        <v>0</v>
      </c>
      <c r="N101" s="59">
        <f>N89-Percentages!N235</f>
        <v>0</v>
      </c>
      <c r="O101" s="59">
        <f>O89-Percentages!O235</f>
        <v>0</v>
      </c>
      <c r="P101" s="59">
        <f>P89-Percentages!P235</f>
        <v>0</v>
      </c>
      <c r="Q101" s="59">
        <f>Q89-Percentages!Q235</f>
        <v>0</v>
      </c>
      <c r="R101" s="59">
        <f>R89-Percentages!R235</f>
        <v>0</v>
      </c>
      <c r="S101" s="59">
        <f>S89-Percentages!S235</f>
        <v>0</v>
      </c>
      <c r="T101" s="59">
        <f>T89-Percentages!T235</f>
        <v>0</v>
      </c>
      <c r="U101" s="59">
        <f>U89-Percentages!U235</f>
        <v>0</v>
      </c>
      <c r="V101" s="59">
        <f>V89-Percentages!V235</f>
        <v>0</v>
      </c>
    </row>
    <row r="102" spans="1:22" ht="12.75">
      <c r="A102" s="4" t="s">
        <v>195</v>
      </c>
      <c r="C102" s="59">
        <f>C90-Percentages!C236</f>
        <v>0</v>
      </c>
      <c r="D102" s="59">
        <f>D90-Percentages!D236</f>
        <v>0</v>
      </c>
      <c r="E102" s="59">
        <f>E90-Percentages!E236</f>
        <v>0</v>
      </c>
      <c r="F102" s="59">
        <f>F90-Percentages!F236</f>
        <v>0</v>
      </c>
      <c r="G102" s="59">
        <f>G90-Percentages!G236</f>
        <v>0</v>
      </c>
      <c r="H102" s="59">
        <f>H90-Percentages!H236</f>
        <v>0</v>
      </c>
      <c r="I102" s="59">
        <f>I90-Percentages!I236</f>
        <v>0</v>
      </c>
      <c r="J102" s="59">
        <f>J90-Percentages!J236</f>
        <v>0</v>
      </c>
      <c r="K102" s="59">
        <f>K90-Percentages!K236</f>
        <v>0</v>
      </c>
      <c r="L102" s="59">
        <f>L90-Percentages!L236</f>
        <v>0</v>
      </c>
      <c r="M102" s="59">
        <f>M90-Percentages!M236</f>
        <v>0</v>
      </c>
      <c r="N102" s="59">
        <f>N90-Percentages!N236</f>
        <v>0</v>
      </c>
      <c r="O102" s="59">
        <f>O90-Percentages!O236</f>
        <v>0</v>
      </c>
      <c r="P102" s="59">
        <f>P90-Percentages!P236</f>
        <v>0</v>
      </c>
      <c r="Q102" s="59">
        <f>Q90-Percentages!Q236</f>
        <v>0</v>
      </c>
      <c r="R102" s="59">
        <f>R90-Percentages!R236</f>
        <v>0</v>
      </c>
      <c r="S102" s="59">
        <f>S90-Percentages!S236</f>
        <v>0</v>
      </c>
      <c r="T102" s="59">
        <f>T90-Percentages!T236</f>
        <v>0</v>
      </c>
      <c r="U102" s="59">
        <f>U90-Percentages!U236</f>
        <v>0</v>
      </c>
      <c r="V102" s="59">
        <f>V90-Percentages!V236</f>
        <v>0</v>
      </c>
    </row>
    <row r="103" spans="1:22" ht="12.75">
      <c r="A103" s="25" t="s">
        <v>258</v>
      </c>
      <c r="C103" s="59">
        <f>C91-Percentages!C237</f>
        <v>0</v>
      </c>
      <c r="D103" s="59">
        <f>D91-Percentages!D237</f>
        <v>0</v>
      </c>
      <c r="E103" s="59">
        <f>E91-Percentages!E237</f>
        <v>0</v>
      </c>
      <c r="F103" s="59">
        <f>F91-Percentages!F237</f>
        <v>0</v>
      </c>
      <c r="G103" s="59">
        <f>G91-Percentages!G237</f>
        <v>0</v>
      </c>
      <c r="H103" s="59">
        <f>H91-Percentages!H237</f>
        <v>0</v>
      </c>
      <c r="I103" s="59">
        <f>I91-Percentages!I237</f>
        <v>0</v>
      </c>
      <c r="J103" s="59">
        <f>J91-Percentages!J237</f>
        <v>0</v>
      </c>
      <c r="K103" s="59">
        <f>K91-Percentages!K237</f>
        <v>0</v>
      </c>
      <c r="L103" s="59">
        <f>L91-Percentages!L237</f>
        <v>0</v>
      </c>
      <c r="M103" s="59">
        <f>M91-Percentages!M237</f>
        <v>0</v>
      </c>
      <c r="N103" s="59">
        <f>N91-Percentages!N237</f>
        <v>0</v>
      </c>
      <c r="O103" s="59">
        <f>O91-Percentages!O237</f>
        <v>0</v>
      </c>
      <c r="P103" s="59">
        <f>P91-Percentages!P237</f>
        <v>0</v>
      </c>
      <c r="Q103" s="59">
        <f>Q91-Percentages!Q237</f>
        <v>0</v>
      </c>
      <c r="R103" s="59">
        <f>R91-Percentages!R237</f>
        <v>0</v>
      </c>
      <c r="S103" s="59">
        <f>S91-Percentages!S237</f>
        <v>0</v>
      </c>
      <c r="T103" s="59">
        <f>T91-Percentages!T237</f>
        <v>0</v>
      </c>
      <c r="U103" s="59">
        <f>U91-Percentages!U237</f>
        <v>0</v>
      </c>
      <c r="V103" s="59">
        <f>V91-Percentages!V237</f>
        <v>0</v>
      </c>
    </row>
    <row r="105" spans="1:22" ht="12.75">
      <c r="A105" s="4" t="s">
        <v>196</v>
      </c>
      <c r="B105" s="14" t="s">
        <v>242</v>
      </c>
      <c r="C105" s="14" t="s">
        <v>242</v>
      </c>
      <c r="D105" s="14" t="s">
        <v>242</v>
      </c>
      <c r="E105" s="14" t="s">
        <v>242</v>
      </c>
      <c r="F105" s="14" t="s">
        <v>242</v>
      </c>
      <c r="G105" s="14" t="s">
        <v>242</v>
      </c>
      <c r="H105" s="14" t="s">
        <v>242</v>
      </c>
      <c r="I105" s="14" t="s">
        <v>242</v>
      </c>
      <c r="J105" s="14" t="s">
        <v>242</v>
      </c>
      <c r="K105" s="14" t="s">
        <v>242</v>
      </c>
      <c r="L105" s="31">
        <f>L65/SUM(L$53:L$62)</f>
        <v>0.02045081647003672</v>
      </c>
      <c r="M105" s="31">
        <f aca="true" t="shared" si="30" ref="M105:V105">M65/SUM(M$53:M$62)</f>
        <v>0.021165922675342362</v>
      </c>
      <c r="N105" s="31">
        <f t="shared" si="30"/>
        <v>0.018868976799524092</v>
      </c>
      <c r="O105" s="31">
        <f t="shared" si="30"/>
        <v>0.022339561332250204</v>
      </c>
      <c r="P105" s="31">
        <f t="shared" si="30"/>
        <v>0.023438209182839818</v>
      </c>
      <c r="Q105" s="31">
        <f t="shared" si="30"/>
        <v>0.024449289768172636</v>
      </c>
      <c r="R105" s="31">
        <f t="shared" si="30"/>
        <v>0.022843822843822845</v>
      </c>
      <c r="S105" s="31">
        <f t="shared" si="30"/>
        <v>0.01911129518963375</v>
      </c>
      <c r="T105" s="31">
        <f t="shared" si="30"/>
        <v>0.026361939243084234</v>
      </c>
      <c r="U105" s="31">
        <f t="shared" si="30"/>
        <v>0.02392499647539828</v>
      </c>
      <c r="V105" s="31">
        <f t="shared" si="30"/>
        <v>0.029356980887593132</v>
      </c>
    </row>
    <row r="106" spans="1:22" ht="12.75">
      <c r="A106" s="4" t="s">
        <v>197</v>
      </c>
      <c r="B106" s="14" t="s">
        <v>242</v>
      </c>
      <c r="C106" s="14" t="s">
        <v>242</v>
      </c>
      <c r="D106" s="14" t="s">
        <v>242</v>
      </c>
      <c r="E106" s="14" t="s">
        <v>242</v>
      </c>
      <c r="F106" s="14" t="s">
        <v>242</v>
      </c>
      <c r="G106" s="14" t="s">
        <v>242</v>
      </c>
      <c r="H106" s="14" t="s">
        <v>242</v>
      </c>
      <c r="I106" s="14" t="s">
        <v>242</v>
      </c>
      <c r="J106" s="14" t="s">
        <v>242</v>
      </c>
      <c r="K106" s="14" t="s">
        <v>242</v>
      </c>
      <c r="L106" s="31">
        <f aca="true" t="shared" si="31" ref="L106:V107">L66/SUM(L$53:L$62)</f>
        <v>0.0132041565747324</v>
      </c>
      <c r="M106" s="31">
        <f t="shared" si="31"/>
        <v>0.012408262086706515</v>
      </c>
      <c r="N106" s="31">
        <f t="shared" si="31"/>
        <v>0.011321386079714457</v>
      </c>
      <c r="O106" s="31">
        <f t="shared" si="31"/>
        <v>0.013200649878147848</v>
      </c>
      <c r="P106" s="31">
        <f t="shared" si="31"/>
        <v>0.015050561899747645</v>
      </c>
      <c r="Q106" s="31">
        <f t="shared" si="31"/>
        <v>0.015230705101484592</v>
      </c>
      <c r="R106" s="31">
        <f t="shared" si="31"/>
        <v>0.0131002331002331</v>
      </c>
      <c r="S106" s="31">
        <f t="shared" si="31"/>
        <v>0.012558428495355304</v>
      </c>
      <c r="T106" s="31">
        <f t="shared" si="31"/>
        <v>0.014948803530010749</v>
      </c>
      <c r="U106" s="31">
        <f t="shared" si="31"/>
        <v>0.01394332440434231</v>
      </c>
      <c r="V106" s="31">
        <f t="shared" si="31"/>
        <v>0.016750350934024404</v>
      </c>
    </row>
    <row r="107" spans="1:22" ht="12.75">
      <c r="A107" s="25" t="s">
        <v>303</v>
      </c>
      <c r="B107" s="14" t="s">
        <v>242</v>
      </c>
      <c r="C107" s="14" t="s">
        <v>242</v>
      </c>
      <c r="D107" s="14" t="s">
        <v>242</v>
      </c>
      <c r="E107" s="14" t="s">
        <v>242</v>
      </c>
      <c r="F107" s="14" t="s">
        <v>242</v>
      </c>
      <c r="G107" s="14" t="s">
        <v>242</v>
      </c>
      <c r="H107" s="14" t="s">
        <v>242</v>
      </c>
      <c r="I107" s="14" t="s">
        <v>242</v>
      </c>
      <c r="J107" s="14" t="s">
        <v>242</v>
      </c>
      <c r="K107" s="14" t="s">
        <v>242</v>
      </c>
      <c r="L107" s="31">
        <f t="shared" si="31"/>
        <v>0.03853816704430034</v>
      </c>
      <c r="M107" s="31">
        <f t="shared" si="31"/>
        <v>0.037508511765150944</v>
      </c>
      <c r="N107" s="31">
        <f t="shared" si="31"/>
        <v>0.03844437834622249</v>
      </c>
      <c r="O107" s="31">
        <f t="shared" si="31"/>
        <v>0.040192747950668344</v>
      </c>
      <c r="P107" s="31">
        <f t="shared" si="31"/>
        <v>0.0437355894046949</v>
      </c>
      <c r="Q107" s="31">
        <f t="shared" si="31"/>
        <v>0.0515278802064963</v>
      </c>
      <c r="R107" s="31">
        <f t="shared" si="31"/>
        <v>0.05782439782439783</v>
      </c>
      <c r="S107" s="31">
        <f t="shared" si="31"/>
        <v>0.05177208449204189</v>
      </c>
      <c r="T107" s="31">
        <f t="shared" si="31"/>
        <v>0.05623126096057023</v>
      </c>
      <c r="U107" s="31">
        <f t="shared" si="31"/>
        <v>0.05753559847737206</v>
      </c>
      <c r="V107" s="31">
        <f t="shared" si="31"/>
        <v>0.07346668826260663</v>
      </c>
    </row>
    <row r="108" spans="12:22" ht="12.75">
      <c r="L108" s="59">
        <f>L91-SUM(L105:L107)</f>
        <v>0</v>
      </c>
      <c r="M108" s="59">
        <f aca="true" t="shared" si="32" ref="M108:V108">M91-SUM(M105:M107)</f>
        <v>0</v>
      </c>
      <c r="N108" s="59">
        <f t="shared" si="32"/>
        <v>0</v>
      </c>
      <c r="O108" s="59">
        <f t="shared" si="32"/>
        <v>0</v>
      </c>
      <c r="P108" s="59">
        <f t="shared" si="32"/>
        <v>0</v>
      </c>
      <c r="Q108" s="59">
        <f t="shared" si="32"/>
        <v>0</v>
      </c>
      <c r="R108" s="59">
        <f t="shared" si="32"/>
        <v>0</v>
      </c>
      <c r="S108" s="59">
        <f t="shared" si="32"/>
        <v>0</v>
      </c>
      <c r="T108" s="59">
        <f t="shared" si="32"/>
        <v>0</v>
      </c>
      <c r="U108" s="59">
        <f t="shared" si="32"/>
        <v>0</v>
      </c>
      <c r="V108" s="59">
        <f t="shared" si="32"/>
        <v>0</v>
      </c>
    </row>
    <row r="110" spans="1:2" ht="12.75">
      <c r="A110" t="s">
        <v>384</v>
      </c>
      <c r="B110" s="9">
        <v>533</v>
      </c>
    </row>
    <row r="111" ht="12.75">
      <c r="B111" s="9">
        <v>843</v>
      </c>
    </row>
    <row r="112" ht="12.75">
      <c r="B112" s="9">
        <v>1096</v>
      </c>
    </row>
    <row r="113" ht="12.75">
      <c r="B113" s="9">
        <v>1621</v>
      </c>
    </row>
    <row r="114" ht="12.75">
      <c r="B114" s="9">
        <v>1484</v>
      </c>
    </row>
    <row r="115" ht="12.75">
      <c r="B115" s="9">
        <v>2238</v>
      </c>
    </row>
    <row r="116" ht="12.75">
      <c r="B116" s="9">
        <v>2120</v>
      </c>
    </row>
    <row r="117" ht="12.75">
      <c r="B117" s="9">
        <v>4406</v>
      </c>
    </row>
    <row r="118" ht="12.75">
      <c r="B118" s="9">
        <v>4804</v>
      </c>
    </row>
    <row r="119" ht="12.75">
      <c r="B119" s="9">
        <v>4318</v>
      </c>
    </row>
    <row r="120" ht="12.75">
      <c r="B120" s="9">
        <v>3750</v>
      </c>
    </row>
    <row r="121" ht="12.75">
      <c r="B121" s="9">
        <v>4663</v>
      </c>
    </row>
    <row r="122" ht="12.75">
      <c r="B122" s="9">
        <v>2345</v>
      </c>
    </row>
    <row r="123" ht="12.75">
      <c r="B123" s="9">
        <v>1623</v>
      </c>
    </row>
    <row r="124" ht="12.75">
      <c r="B124" s="9">
        <v>1484</v>
      </c>
    </row>
    <row r="125" ht="12.75">
      <c r="B125" s="9">
        <f>SUM(B110:B124)</f>
        <v>37328</v>
      </c>
    </row>
    <row r="129" spans="1:22" ht="12.75">
      <c r="A129" s="4" t="s">
        <v>397</v>
      </c>
      <c r="B129" s="34">
        <v>1973</v>
      </c>
      <c r="C129" s="34">
        <v>1974</v>
      </c>
      <c r="D129" s="34">
        <v>1975</v>
      </c>
      <c r="E129" s="34">
        <v>1976</v>
      </c>
      <c r="F129" s="34">
        <v>1977</v>
      </c>
      <c r="G129" s="34">
        <v>1978</v>
      </c>
      <c r="H129" s="34">
        <v>1979</v>
      </c>
      <c r="I129" s="34">
        <v>1980</v>
      </c>
      <c r="J129" s="34">
        <v>1981</v>
      </c>
      <c r="K129" s="34">
        <v>1983</v>
      </c>
      <c r="L129" s="34">
        <v>1985</v>
      </c>
      <c r="M129" s="33">
        <v>1987</v>
      </c>
      <c r="N129" s="33">
        <v>1989</v>
      </c>
      <c r="O129" s="33">
        <v>1991</v>
      </c>
      <c r="P129" s="33">
        <v>1993</v>
      </c>
      <c r="Q129" s="33">
        <v>1995</v>
      </c>
      <c r="R129" s="15">
        <v>1997</v>
      </c>
      <c r="S129" s="15">
        <v>1999</v>
      </c>
      <c r="T129" s="15">
        <v>2001</v>
      </c>
      <c r="U129" s="15">
        <v>2003</v>
      </c>
      <c r="V129" s="15">
        <v>2005</v>
      </c>
    </row>
    <row r="130" spans="1:22" ht="12.75">
      <c r="A130" s="4" t="s">
        <v>396</v>
      </c>
      <c r="B130" s="36">
        <v>0.644</v>
      </c>
      <c r="C130" s="36">
        <v>0.646</v>
      </c>
      <c r="D130" s="36">
        <v>0.646</v>
      </c>
      <c r="E130" s="36">
        <v>0.647</v>
      </c>
      <c r="F130" s="36">
        <v>0.648</v>
      </c>
      <c r="G130" s="36">
        <v>0.652</v>
      </c>
      <c r="H130" s="36">
        <v>0.654</v>
      </c>
      <c r="I130" s="36">
        <v>0.656</v>
      </c>
      <c r="J130" s="36">
        <v>0.653</v>
      </c>
      <c r="K130" s="36">
        <v>0.647</v>
      </c>
      <c r="L130" s="36">
        <v>0.635</v>
      </c>
      <c r="M130" s="35">
        <v>0.6399524689728017</v>
      </c>
      <c r="N130" s="35">
        <v>0.6395610729801565</v>
      </c>
      <c r="O130" s="35">
        <v>0.6419530419659248</v>
      </c>
      <c r="P130" s="35">
        <v>0.6466365440648622</v>
      </c>
      <c r="Q130" s="35">
        <v>0.6504457842424739</v>
      </c>
      <c r="R130" s="35">
        <v>0.6582468061153719</v>
      </c>
      <c r="S130" s="35">
        <v>0.6692022606344172</v>
      </c>
      <c r="T130" s="35">
        <v>0.6800707691439004</v>
      </c>
      <c r="U130" s="35">
        <v>0.6825078891177415</v>
      </c>
      <c r="V130" s="35">
        <v>0.6882549071837312</v>
      </c>
    </row>
    <row r="152" spans="1:22" ht="12.75">
      <c r="A152" s="18" t="s">
        <v>132</v>
      </c>
      <c r="B152" s="31">
        <v>0.04303618558633918</v>
      </c>
      <c r="C152" s="31">
        <v>0.04204433149795284</v>
      </c>
      <c r="D152" s="31">
        <v>0.039849427078306195</v>
      </c>
      <c r="E152" s="31">
        <v>0.03656509695290859</v>
      </c>
      <c r="F152" s="31">
        <v>0.03459086078639745</v>
      </c>
      <c r="G152" s="31">
        <v>0.03133463786333537</v>
      </c>
      <c r="H152" s="31">
        <v>0.03001069083133941</v>
      </c>
      <c r="I152" s="31">
        <v>0.031833849535418124</v>
      </c>
      <c r="J152" s="31">
        <v>0.028866847009317704</v>
      </c>
      <c r="K152" s="31">
        <v>0.026323873437463077</v>
      </c>
      <c r="L152" s="31">
        <v>0.022222222222222223</v>
      </c>
      <c r="M152" s="31">
        <v>0.02182906434292756</v>
      </c>
      <c r="N152" s="31">
        <v>0.022213208372917178</v>
      </c>
      <c r="O152" s="31">
        <v>0.021578794808206382</v>
      </c>
      <c r="P152" s="31">
        <v>0.02048055403065749</v>
      </c>
      <c r="Q152" s="31">
        <v>0.021076228593655634</v>
      </c>
      <c r="R152" s="31">
        <v>0.02162091529546574</v>
      </c>
      <c r="S152" s="31">
        <v>0.02069005768314154</v>
      </c>
      <c r="T152" s="31">
        <v>0.02024261017682875</v>
      </c>
      <c r="U152" s="31">
        <v>0.019812550783242948</v>
      </c>
      <c r="V152" s="31">
        <v>0.01989510521626512</v>
      </c>
    </row>
    <row r="153" spans="1:22" ht="12.75">
      <c r="A153" s="18" t="s">
        <v>133</v>
      </c>
      <c r="B153" s="31">
        <v>0.01253299104374288</v>
      </c>
      <c r="C153" s="31">
        <v>0.011435832274459974</v>
      </c>
      <c r="D153" s="31">
        <v>0.009789997655916054</v>
      </c>
      <c r="E153" s="31">
        <v>0.009620971555975948</v>
      </c>
      <c r="F153" s="31">
        <v>0.008953241232731137</v>
      </c>
      <c r="G153" s="31">
        <v>0.010704057433877175</v>
      </c>
      <c r="H153" s="31">
        <v>0.010041745150944357</v>
      </c>
      <c r="I153" s="31">
        <v>0.009828654211209912</v>
      </c>
      <c r="J153" s="31">
        <v>0.01080853621881575</v>
      </c>
      <c r="K153" s="31">
        <v>0.008270516789149081</v>
      </c>
      <c r="L153" s="31">
        <v>0.006005089058524173</v>
      </c>
      <c r="M153" s="31">
        <v>0.0049511486664906255</v>
      </c>
      <c r="N153" s="31">
        <v>0.00635120566164619</v>
      </c>
      <c r="O153" s="31">
        <v>0.005561102343607416</v>
      </c>
      <c r="P153" s="31">
        <v>0.004708416029728474</v>
      </c>
      <c r="Q153" s="31">
        <v>0.005066893226740913</v>
      </c>
      <c r="R153" s="31">
        <v>0.006583774764542101</v>
      </c>
      <c r="S153" s="31">
        <v>0.00431894010875169</v>
      </c>
      <c r="T153" s="31">
        <v>0.004790092319853945</v>
      </c>
      <c r="U153" s="31">
        <v>0.0043933410177434285</v>
      </c>
      <c r="V153" s="31">
        <v>0.004197628385887886</v>
      </c>
    </row>
    <row r="155" spans="1:22" ht="12.75">
      <c r="A155" s="7" t="s">
        <v>397</v>
      </c>
      <c r="B155" s="34">
        <v>1973</v>
      </c>
      <c r="C155" s="34">
        <v>1974</v>
      </c>
      <c r="D155" s="34">
        <v>1975</v>
      </c>
      <c r="E155" s="34">
        <v>1976</v>
      </c>
      <c r="F155" s="34">
        <v>1977</v>
      </c>
      <c r="G155" s="34">
        <v>1978</v>
      </c>
      <c r="H155" s="34">
        <v>1979</v>
      </c>
      <c r="I155" s="34">
        <v>1980</v>
      </c>
      <c r="J155" s="34">
        <v>1981</v>
      </c>
      <c r="K155" s="34">
        <v>1983</v>
      </c>
      <c r="L155" s="34">
        <v>1985</v>
      </c>
      <c r="M155" s="33">
        <v>1987</v>
      </c>
      <c r="N155" s="33">
        <v>1989</v>
      </c>
      <c r="O155" s="33">
        <v>1991</v>
      </c>
      <c r="P155" s="33">
        <v>1993</v>
      </c>
      <c r="Q155" s="33">
        <v>1995</v>
      </c>
      <c r="R155" s="15">
        <v>1997</v>
      </c>
      <c r="S155" s="15">
        <v>1999</v>
      </c>
      <c r="T155" s="15">
        <v>2001</v>
      </c>
      <c r="U155" s="15">
        <v>2003</v>
      </c>
      <c r="V155" s="15">
        <v>2005</v>
      </c>
    </row>
    <row r="156" spans="1:22" ht="12.75">
      <c r="A156" s="18" t="s">
        <v>401</v>
      </c>
      <c r="B156" s="59">
        <v>0.05556917663008206</v>
      </c>
      <c r="C156" s="59">
        <v>0.05348016377241282</v>
      </c>
      <c r="D156" s="59">
        <v>0.04963942473422225</v>
      </c>
      <c r="E156" s="59">
        <v>0.04618606850888454</v>
      </c>
      <c r="F156" s="59">
        <v>0.04354410201912859</v>
      </c>
      <c r="G156" s="59">
        <v>0.04203869529721254</v>
      </c>
      <c r="H156" s="59">
        <v>0.040052435982283766</v>
      </c>
      <c r="I156" s="59">
        <v>0.041662503746628034</v>
      </c>
      <c r="J156" s="59">
        <v>0.03967538322813345</v>
      </c>
      <c r="K156" s="59">
        <v>0.03459439022661216</v>
      </c>
      <c r="L156" s="59">
        <v>0.028227311280746396</v>
      </c>
      <c r="M156" s="59">
        <v>0.026780213009418186</v>
      </c>
      <c r="N156" s="59">
        <v>0.02856441403456337</v>
      </c>
      <c r="O156" s="59">
        <v>0.027139897151813797</v>
      </c>
      <c r="P156" s="59">
        <v>0.02518897006038596</v>
      </c>
      <c r="Q156" s="59">
        <v>0.026143121820396548</v>
      </c>
      <c r="R156" s="59">
        <v>0.02820469006000784</v>
      </c>
      <c r="S156" s="59">
        <v>0.02500899779189323</v>
      </c>
      <c r="T156" s="59">
        <v>0.025032702496682695</v>
      </c>
      <c r="U156" s="59">
        <v>0.024205891800986375</v>
      </c>
      <c r="V156" s="59">
        <v>0.024092733602153006</v>
      </c>
    </row>
    <row r="157" spans="1:22" ht="12.75">
      <c r="A157" s="92" t="s">
        <v>402</v>
      </c>
      <c r="B157" s="59">
        <v>0.01253299104374288</v>
      </c>
      <c r="C157" s="59">
        <v>0.011435832274459974</v>
      </c>
      <c r="D157" s="59">
        <v>0.009789997655916054</v>
      </c>
      <c r="E157" s="59">
        <v>0.009620971555975948</v>
      </c>
      <c r="F157" s="59">
        <v>0.008953241232731137</v>
      </c>
      <c r="G157" s="59">
        <v>0.010704057433877175</v>
      </c>
      <c r="H157" s="59">
        <v>0.010041745150944357</v>
      </c>
      <c r="I157" s="59">
        <v>0.009828654211209912</v>
      </c>
      <c r="J157" s="59">
        <v>0.01080853621881575</v>
      </c>
      <c r="K157" s="59">
        <v>0.008270516789149081</v>
      </c>
      <c r="L157" s="59">
        <v>0.006005089058524173</v>
      </c>
      <c r="M157" s="59">
        <v>0.0049511486664906255</v>
      </c>
      <c r="N157" s="59">
        <v>0.00635120566164619</v>
      </c>
      <c r="O157" s="59">
        <v>0.005561102343607416</v>
      </c>
      <c r="P157" s="59">
        <v>0.004708416029728474</v>
      </c>
      <c r="Q157" s="59">
        <v>0.005066893226740913</v>
      </c>
      <c r="R157" s="59">
        <v>0.006583774764542101</v>
      </c>
      <c r="S157" s="59">
        <v>0.00431894010875169</v>
      </c>
      <c r="T157" s="59">
        <v>0.004790092319853945</v>
      </c>
      <c r="U157" s="59">
        <v>0.0043933410177434285</v>
      </c>
      <c r="V157" s="59">
        <v>0.004197628385887886</v>
      </c>
    </row>
    <row r="159" spans="2:7" ht="12.75">
      <c r="B159" s="92" t="s">
        <v>397</v>
      </c>
      <c r="C159" s="92" t="s">
        <v>401</v>
      </c>
      <c r="D159" s="92" t="s">
        <v>402</v>
      </c>
      <c r="E159" s="7" t="s">
        <v>397</v>
      </c>
      <c r="F159" s="18" t="s">
        <v>401</v>
      </c>
      <c r="G159" s="92" t="s">
        <v>402</v>
      </c>
    </row>
    <row r="160" spans="2:7" ht="12.75">
      <c r="B160" s="82">
        <v>1973</v>
      </c>
      <c r="C160" s="59">
        <v>0.05556917663008206</v>
      </c>
      <c r="D160" s="59">
        <v>0.01253299104374288</v>
      </c>
      <c r="E160" s="103">
        <v>1987</v>
      </c>
      <c r="F160" s="59">
        <v>0.026780213009418186</v>
      </c>
      <c r="G160" s="59">
        <v>0.0049511486664906255</v>
      </c>
    </row>
    <row r="161" spans="2:7" ht="12.75">
      <c r="B161" s="82">
        <v>1974</v>
      </c>
      <c r="C161" s="59">
        <v>0.05348016377241282</v>
      </c>
      <c r="D161" s="59">
        <v>0.011435832274459974</v>
      </c>
      <c r="E161" s="103">
        <v>1989</v>
      </c>
      <c r="F161" s="59">
        <v>0.02856441403456337</v>
      </c>
      <c r="G161" s="59">
        <v>0.00635120566164619</v>
      </c>
    </row>
    <row r="162" spans="2:7" ht="12.75">
      <c r="B162" s="82">
        <v>1975</v>
      </c>
      <c r="C162" s="59">
        <v>0.04963942473422225</v>
      </c>
      <c r="D162" s="59">
        <v>0.009789997655916054</v>
      </c>
      <c r="E162" s="103">
        <v>1991</v>
      </c>
      <c r="F162" s="59">
        <v>0.027139897151813797</v>
      </c>
      <c r="G162" s="59">
        <v>0.005561102343607416</v>
      </c>
    </row>
    <row r="163" spans="2:7" ht="12.75">
      <c r="B163" s="82">
        <v>1976</v>
      </c>
      <c r="C163" s="59">
        <v>0.04618606850888454</v>
      </c>
      <c r="D163" s="59">
        <v>0.009620971555975948</v>
      </c>
      <c r="E163" s="103">
        <v>1993</v>
      </c>
      <c r="F163" s="59">
        <v>0.02518897006038596</v>
      </c>
      <c r="G163" s="59">
        <v>0.004708416029728474</v>
      </c>
    </row>
    <row r="164" spans="2:7" ht="12.75">
      <c r="B164" s="82">
        <v>1977</v>
      </c>
      <c r="C164" s="59">
        <v>0.04354410201912859</v>
      </c>
      <c r="D164" s="59">
        <v>0.008953241232731137</v>
      </c>
      <c r="E164" s="103">
        <v>1995</v>
      </c>
      <c r="F164" s="59">
        <v>0.026143121820396548</v>
      </c>
      <c r="G164" s="59">
        <v>0.005066893226740913</v>
      </c>
    </row>
    <row r="165" spans="2:7" ht="12.75">
      <c r="B165" s="82">
        <v>1978</v>
      </c>
      <c r="C165" s="59">
        <v>0.04203869529721254</v>
      </c>
      <c r="D165" s="59">
        <v>0.010704057433877175</v>
      </c>
      <c r="E165" s="104">
        <v>1997</v>
      </c>
      <c r="F165" s="59">
        <v>0.02820469006000784</v>
      </c>
      <c r="G165" s="59">
        <v>0.006583774764542101</v>
      </c>
    </row>
    <row r="166" spans="2:7" ht="12.75">
      <c r="B166" s="82">
        <v>1979</v>
      </c>
      <c r="C166" s="59">
        <v>0.040052435982283766</v>
      </c>
      <c r="D166" s="59">
        <v>0.010041745150944357</v>
      </c>
      <c r="E166" s="104">
        <v>1999</v>
      </c>
      <c r="F166" s="59">
        <v>0.02500899779189323</v>
      </c>
      <c r="G166" s="59">
        <v>0.00431894010875169</v>
      </c>
    </row>
    <row r="167" spans="2:7" ht="12.75">
      <c r="B167" s="82">
        <v>1980</v>
      </c>
      <c r="C167" s="59">
        <v>0.041662503746628034</v>
      </c>
      <c r="D167" s="59">
        <v>0.009828654211209912</v>
      </c>
      <c r="E167" s="104">
        <v>2001</v>
      </c>
      <c r="F167" s="59">
        <v>0.025032702496682695</v>
      </c>
      <c r="G167" s="59">
        <v>0.004790092319853945</v>
      </c>
    </row>
    <row r="168" spans="2:7" ht="12.75">
      <c r="B168" s="82">
        <v>1981</v>
      </c>
      <c r="C168" s="59">
        <v>0.03967538322813345</v>
      </c>
      <c r="D168" s="59">
        <v>0.01080853621881575</v>
      </c>
      <c r="E168" s="104">
        <v>2003</v>
      </c>
      <c r="F168" s="59">
        <v>0.024205891800986375</v>
      </c>
      <c r="G168" s="59">
        <v>0.0043933410177434285</v>
      </c>
    </row>
    <row r="169" spans="2:7" ht="12.75">
      <c r="B169" s="82">
        <v>1983</v>
      </c>
      <c r="C169" s="59">
        <v>0.03459439022661216</v>
      </c>
      <c r="D169" s="59">
        <v>0.008270516789149081</v>
      </c>
      <c r="E169" s="104">
        <v>2005</v>
      </c>
      <c r="F169" s="59">
        <v>0.024092733602153006</v>
      </c>
      <c r="G169" s="59">
        <v>0.004197628385887886</v>
      </c>
    </row>
    <row r="170" spans="2:4" ht="12.75">
      <c r="B170" s="82">
        <v>1985</v>
      </c>
      <c r="C170" s="59">
        <v>0.028227311280746396</v>
      </c>
      <c r="D170" s="59">
        <v>0.006005089058524173</v>
      </c>
    </row>
    <row r="174" ht="12.75">
      <c r="B174">
        <v>2005</v>
      </c>
    </row>
    <row r="175" ht="12.75">
      <c r="A175" t="s">
        <v>403</v>
      </c>
    </row>
    <row r="176" spans="1:2" ht="12.75">
      <c r="A176" t="s">
        <v>404</v>
      </c>
      <c r="B176">
        <v>753</v>
      </c>
    </row>
    <row r="178" spans="1:2" ht="12.75">
      <c r="A178" t="s">
        <v>405</v>
      </c>
      <c r="B178" s="26">
        <f>B176*12</f>
        <v>9036</v>
      </c>
    </row>
    <row r="180" spans="1:2" ht="12.75">
      <c r="A180" t="s">
        <v>406</v>
      </c>
      <c r="B180" s="105">
        <v>2054.27</v>
      </c>
    </row>
    <row r="184" spans="1:22" ht="12.75">
      <c r="A184" t="s">
        <v>125</v>
      </c>
      <c r="B184" s="59">
        <v>0.6565037425905361</v>
      </c>
      <c r="C184" s="59">
        <v>0.6583368629111959</v>
      </c>
      <c r="D184" s="59">
        <v>0.6472980985342581</v>
      </c>
      <c r="E184" s="59">
        <v>0.6404837510978988</v>
      </c>
      <c r="F184" s="59">
        <v>0.6246280552603614</v>
      </c>
      <c r="G184" s="59">
        <v>0.6046237381264011</v>
      </c>
      <c r="H184" s="59">
        <v>0.5997174566003156</v>
      </c>
      <c r="I184" s="59">
        <v>0.5910555500049955</v>
      </c>
      <c r="J184" s="59">
        <v>0.6006492335437331</v>
      </c>
      <c r="K184" s="59">
        <v>0.5969068267208583</v>
      </c>
      <c r="L184" s="59">
        <v>0.5651342945999435</v>
      </c>
      <c r="M184" s="59">
        <v>0.5555298829328404</v>
      </c>
      <c r="N184" s="59">
        <v>0.5360310835477088</v>
      </c>
      <c r="O184" s="59">
        <v>0.5340483322060828</v>
      </c>
      <c r="P184" s="59">
        <v>0.5245027659304928</v>
      </c>
      <c r="Q184" s="59">
        <v>0.5195561606256334</v>
      </c>
      <c r="R184" s="59">
        <v>0.5252746590006735</v>
      </c>
      <c r="S184" s="59">
        <v>0.5171930780230148</v>
      </c>
      <c r="T184" s="59">
        <v>0.5054535530439201</v>
      </c>
      <c r="U184" s="59">
        <v>0.5058672360688573</v>
      </c>
      <c r="V184" s="59">
        <v>0.5021355549227985</v>
      </c>
    </row>
    <row r="185" spans="1:22" ht="12.75">
      <c r="A185" t="s">
        <v>126</v>
      </c>
      <c r="B185" s="59">
        <v>0.20059996827090876</v>
      </c>
      <c r="C185" s="59">
        <v>0.19495976281236765</v>
      </c>
      <c r="D185" s="59">
        <v>0.19804751596045392</v>
      </c>
      <c r="E185" s="59">
        <v>0.20049996621849875</v>
      </c>
      <c r="F185" s="59">
        <v>0.20982996811902233</v>
      </c>
      <c r="G185" s="59">
        <v>0.2223489315380927</v>
      </c>
      <c r="H185" s="59">
        <v>0.22571654024334367</v>
      </c>
      <c r="I185" s="59">
        <v>0.2215256269357578</v>
      </c>
      <c r="J185" s="59">
        <v>0.22439434926360083</v>
      </c>
      <c r="K185" s="59">
        <v>0.2243200453696921</v>
      </c>
      <c r="L185" s="59">
        <v>0.2373423805484874</v>
      </c>
      <c r="M185" s="59">
        <v>0.24150602939882052</v>
      </c>
      <c r="N185" s="59">
        <v>0.23863454415422222</v>
      </c>
      <c r="O185" s="59">
        <v>0.2404049513135152</v>
      </c>
      <c r="P185" s="59">
        <v>0.24269456526329125</v>
      </c>
      <c r="Q185" s="59">
        <v>0.2463840807427349</v>
      </c>
      <c r="R185" s="59">
        <v>0.2539326746208047</v>
      </c>
      <c r="S185" s="59">
        <v>0.26167524294038114</v>
      </c>
      <c r="T185" s="59">
        <v>0.2649043393154591</v>
      </c>
      <c r="U185" s="59">
        <v>0.26616088131365623</v>
      </c>
      <c r="V185" s="59">
        <v>0.26803280947176017</v>
      </c>
    </row>
    <row r="186" spans="1:22" ht="12.75">
      <c r="A186" t="s">
        <v>408</v>
      </c>
      <c r="B186" s="59">
        <f>SUM(B190:B191)</f>
        <v>0.14291071145275971</v>
      </c>
      <c r="C186" s="59">
        <f aca="true" t="shared" si="33" ref="C186:V186">SUM(C190:C191)</f>
        <v>0.14668925596498658</v>
      </c>
      <c r="D186" s="59">
        <f t="shared" si="33"/>
        <v>0.15465438550528798</v>
      </c>
      <c r="E186" s="59">
        <f t="shared" si="33"/>
        <v>0.15901628268360246</v>
      </c>
      <c r="F186" s="59">
        <f t="shared" si="33"/>
        <v>0.16554197662061637</v>
      </c>
      <c r="G186" s="59">
        <f t="shared" si="33"/>
        <v>0.1730273303355061</v>
      </c>
      <c r="H186" s="59">
        <f t="shared" si="33"/>
        <v>0.1745660031563407</v>
      </c>
      <c r="I186" s="59">
        <f t="shared" si="33"/>
        <v>0.18741882305924668</v>
      </c>
      <c r="J186" s="59">
        <f t="shared" si="33"/>
        <v>0.17495641719266608</v>
      </c>
      <c r="K186" s="59">
        <f t="shared" si="33"/>
        <v>0.17877312790944966</v>
      </c>
      <c r="L186" s="59">
        <f t="shared" si="33"/>
        <v>0.19753463387051173</v>
      </c>
      <c r="M186" s="59">
        <f t="shared" si="33"/>
        <v>0.20295308511574686</v>
      </c>
      <c r="N186" s="59">
        <f t="shared" si="33"/>
        <v>0.22533437229806902</v>
      </c>
      <c r="O186" s="59">
        <f t="shared" si="33"/>
        <v>0.225557452199212</v>
      </c>
      <c r="P186" s="59">
        <f t="shared" si="33"/>
        <v>0.23280266880621595</v>
      </c>
      <c r="Q186" s="59">
        <f t="shared" si="33"/>
        <v>0.23405975863163175</v>
      </c>
      <c r="R186" s="59">
        <f t="shared" si="33"/>
        <v>0.2207926663785218</v>
      </c>
      <c r="S186" s="59">
        <f t="shared" si="33"/>
        <v>0.22112195169401672</v>
      </c>
      <c r="T186" s="59">
        <f t="shared" si="33"/>
        <v>0.22964210764062074</v>
      </c>
      <c r="U186" s="59">
        <f t="shared" si="33"/>
        <v>0.2279813306626859</v>
      </c>
      <c r="V186" s="59">
        <f t="shared" si="33"/>
        <v>0.2298316356054413</v>
      </c>
    </row>
    <row r="187" spans="1:22" ht="12.75">
      <c r="A187" s="7" t="s">
        <v>397</v>
      </c>
      <c r="B187" s="34">
        <v>1973</v>
      </c>
      <c r="C187" s="34">
        <v>1974</v>
      </c>
      <c r="D187" s="34">
        <v>1975</v>
      </c>
      <c r="E187" s="34">
        <v>1976</v>
      </c>
      <c r="F187" s="34">
        <v>1977</v>
      </c>
      <c r="G187" s="34">
        <v>1978</v>
      </c>
      <c r="H187" s="34">
        <v>1979</v>
      </c>
      <c r="I187" s="34">
        <v>1980</v>
      </c>
      <c r="J187" s="34">
        <v>1981</v>
      </c>
      <c r="K187" s="34">
        <v>1983</v>
      </c>
      <c r="L187" s="34">
        <v>1985</v>
      </c>
      <c r="M187" s="33">
        <v>1987</v>
      </c>
      <c r="N187" s="33">
        <v>1989</v>
      </c>
      <c r="O187" s="33">
        <v>1991</v>
      </c>
      <c r="P187" s="33">
        <v>1993</v>
      </c>
      <c r="Q187" s="33">
        <v>1995</v>
      </c>
      <c r="R187" s="15">
        <v>1997</v>
      </c>
      <c r="S187" s="15">
        <v>1999</v>
      </c>
      <c r="T187" s="15">
        <v>2001</v>
      </c>
      <c r="U187" s="15">
        <v>2003</v>
      </c>
      <c r="V187" s="15">
        <v>2005</v>
      </c>
    </row>
    <row r="188" spans="2:22" ht="12.75">
      <c r="B188" s="59">
        <f>SUM(B184:B186)</f>
        <v>1.0000144223142047</v>
      </c>
      <c r="C188" s="59">
        <f aca="true" t="shared" si="34" ref="C188:V188">SUM(C184:C186)</f>
        <v>0.9999858816885501</v>
      </c>
      <c r="D188" s="59">
        <f t="shared" si="34"/>
        <v>1</v>
      </c>
      <c r="E188" s="59">
        <f t="shared" si="34"/>
        <v>1</v>
      </c>
      <c r="F188" s="59">
        <f t="shared" si="34"/>
        <v>1</v>
      </c>
      <c r="G188" s="59">
        <f t="shared" si="34"/>
        <v>1</v>
      </c>
      <c r="H188" s="59">
        <f t="shared" si="34"/>
        <v>1</v>
      </c>
      <c r="I188" s="59">
        <f t="shared" si="34"/>
        <v>1</v>
      </c>
      <c r="J188" s="59">
        <f t="shared" si="34"/>
        <v>1</v>
      </c>
      <c r="K188" s="59">
        <f t="shared" si="34"/>
        <v>1</v>
      </c>
      <c r="L188" s="59">
        <f t="shared" si="34"/>
        <v>1.0000113090189426</v>
      </c>
      <c r="M188" s="59">
        <f t="shared" si="34"/>
        <v>0.9999889974474078</v>
      </c>
      <c r="N188" s="59">
        <f t="shared" si="34"/>
        <v>1</v>
      </c>
      <c r="O188" s="59">
        <f t="shared" si="34"/>
        <v>1.0000107357188102</v>
      </c>
      <c r="P188" s="59">
        <f t="shared" si="34"/>
        <v>1</v>
      </c>
      <c r="Q188" s="59">
        <f t="shared" si="34"/>
        <v>1</v>
      </c>
      <c r="R188" s="59">
        <f t="shared" si="34"/>
        <v>1</v>
      </c>
      <c r="S188" s="59">
        <f t="shared" si="34"/>
        <v>0.9999902726574127</v>
      </c>
      <c r="T188" s="59">
        <f t="shared" si="34"/>
        <v>1</v>
      </c>
      <c r="U188" s="59">
        <f t="shared" si="34"/>
        <v>1.0000094480451995</v>
      </c>
      <c r="V188" s="59">
        <f t="shared" si="34"/>
        <v>1</v>
      </c>
    </row>
    <row r="189" spans="2:22" ht="12.7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</row>
    <row r="190" spans="1:22" ht="12.75">
      <c r="A190" t="s">
        <v>127</v>
      </c>
      <c r="B190" s="59">
        <v>0.04372845666815697</v>
      </c>
      <c r="C190" s="59">
        <v>0.03953127205986164</v>
      </c>
      <c r="D190" s="59">
        <v>0.04331039808060891</v>
      </c>
      <c r="E190" s="59">
        <v>0.045388825079386526</v>
      </c>
      <c r="F190" s="59">
        <v>0.04938894792773645</v>
      </c>
      <c r="G190" s="59">
        <v>0.05026760143584693</v>
      </c>
      <c r="H190" s="59">
        <v>0.05118871862750089</v>
      </c>
      <c r="I190" s="59">
        <v>0.05325207313417924</v>
      </c>
      <c r="J190" s="59">
        <v>0.05620679290652239</v>
      </c>
      <c r="K190" s="59">
        <v>0.05718471608497365</v>
      </c>
      <c r="L190" s="59">
        <v>0.06402035623409669</v>
      </c>
      <c r="M190" s="59">
        <v>0.06675248657688584</v>
      </c>
      <c r="N190" s="59">
        <v>0.08050553462207657</v>
      </c>
      <c r="O190" s="59">
        <v>0.07834927587576626</v>
      </c>
      <c r="P190" s="59">
        <v>0.08197500105569866</v>
      </c>
      <c r="Q190" s="59">
        <v>0.08159233517242791</v>
      </c>
      <c r="R190" s="59">
        <v>0.07755787188275855</v>
      </c>
      <c r="S190" s="59">
        <v>0.0781591976887834</v>
      </c>
      <c r="T190" s="59">
        <v>0.08075399252783241</v>
      </c>
      <c r="U190" s="59">
        <v>0.08031783224050944</v>
      </c>
      <c r="V190" s="59">
        <v>0.08172056837909085</v>
      </c>
    </row>
    <row r="191" spans="1:22" ht="12.75">
      <c r="A191" t="s">
        <v>128</v>
      </c>
      <c r="B191" s="59">
        <v>0.09918225478460274</v>
      </c>
      <c r="C191" s="59">
        <v>0.10715798390512495</v>
      </c>
      <c r="D191" s="59">
        <v>0.11134398742467906</v>
      </c>
      <c r="E191" s="59">
        <v>0.11362745760421593</v>
      </c>
      <c r="F191" s="59">
        <v>0.11615302869287991</v>
      </c>
      <c r="G191" s="59">
        <v>0.12275972889965918</v>
      </c>
      <c r="H191" s="59">
        <v>0.1233772845288398</v>
      </c>
      <c r="I191" s="59">
        <v>0.13416674992506744</v>
      </c>
      <c r="J191" s="59">
        <v>0.11874962428614368</v>
      </c>
      <c r="K191" s="59">
        <v>0.12158841182447601</v>
      </c>
      <c r="L191" s="59">
        <v>0.13351427763641505</v>
      </c>
      <c r="M191" s="59">
        <v>0.13620059853886102</v>
      </c>
      <c r="N191" s="59">
        <v>0.14482883767599244</v>
      </c>
      <c r="O191" s="59">
        <v>0.14720817632344574</v>
      </c>
      <c r="P191" s="59">
        <v>0.15082766775051729</v>
      </c>
      <c r="Q191" s="59">
        <v>0.15246742345920383</v>
      </c>
      <c r="R191" s="59">
        <v>0.14323479449576326</v>
      </c>
      <c r="S191" s="59">
        <v>0.1429627540052333</v>
      </c>
      <c r="T191" s="59">
        <v>0.14888811511278832</v>
      </c>
      <c r="U191" s="59">
        <v>0.14766349842217646</v>
      </c>
      <c r="V191" s="59">
        <v>0.14811106722635045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G1">
      <selection activeCell="V18" sqref="V18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s="92" t="s">
        <v>116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92" t="s">
        <v>117</v>
      </c>
      <c r="B3" s="59">
        <v>0.20059996827090876</v>
      </c>
      <c r="C3" s="59">
        <v>0.19495976281236765</v>
      </c>
      <c r="D3" s="59">
        <v>0.19804751596045392</v>
      </c>
      <c r="E3" s="59">
        <v>0.20049996621849875</v>
      </c>
      <c r="F3" s="59">
        <v>0.20982996811902233</v>
      </c>
      <c r="G3" s="59">
        <v>0.2223489315380927</v>
      </c>
      <c r="H3" s="59">
        <v>0.22571654024334367</v>
      </c>
      <c r="I3" s="59">
        <v>0.2215256269357578</v>
      </c>
      <c r="J3" s="59">
        <v>0.22439434926360083</v>
      </c>
      <c r="K3" s="59">
        <v>0.2243200453696921</v>
      </c>
      <c r="L3" s="59">
        <v>0.2373423805484874</v>
      </c>
      <c r="M3" s="59">
        <v>0.24150602939882052</v>
      </c>
      <c r="N3" s="59">
        <v>0.23863454415422222</v>
      </c>
      <c r="O3" s="59">
        <v>0.2404049513135152</v>
      </c>
      <c r="P3" s="59">
        <v>0.24269456526329125</v>
      </c>
      <c r="Q3" s="59">
        <v>0.2463840807427349</v>
      </c>
      <c r="R3" s="59">
        <v>0.2539326746208047</v>
      </c>
      <c r="S3" s="59">
        <v>0.26167524294038114</v>
      </c>
      <c r="T3" s="59">
        <v>0.2649043393154591</v>
      </c>
      <c r="U3" s="59">
        <v>0.26616088131365623</v>
      </c>
      <c r="V3" s="59">
        <v>0.26803280947176017</v>
      </c>
    </row>
    <row r="4" spans="1:22" ht="12.75">
      <c r="A4" s="92" t="s">
        <v>118</v>
      </c>
      <c r="B4" s="59">
        <v>0.3033733792924413</v>
      </c>
      <c r="C4" s="59">
        <v>0.30607087392347876</v>
      </c>
      <c r="D4" s="59">
        <v>0.310246404588889</v>
      </c>
      <c r="E4" s="59">
        <v>0.3111546517127221</v>
      </c>
      <c r="F4" s="59">
        <v>0.3087539851222104</v>
      </c>
      <c r="G4" s="59">
        <v>0.30879780216932107</v>
      </c>
      <c r="H4" s="59">
        <v>0.3099959273023469</v>
      </c>
      <c r="I4" s="59">
        <v>0.3126935757817964</v>
      </c>
      <c r="J4" s="59">
        <v>0.3139404869251578</v>
      </c>
      <c r="K4" s="59">
        <v>0.31515394976251804</v>
      </c>
      <c r="L4" s="59">
        <v>0.3193440769013288</v>
      </c>
      <c r="M4" s="59">
        <v>0.32027330340639026</v>
      </c>
      <c r="N4" s="59">
        <v>0.32138168077452683</v>
      </c>
      <c r="O4" s="59">
        <v>0.328394902680709</v>
      </c>
      <c r="P4" s="59">
        <v>0.33047590895654744</v>
      </c>
      <c r="Q4" s="59">
        <v>0.3268504396425537</v>
      </c>
      <c r="R4" s="59">
        <v>0.3264044548533979</v>
      </c>
      <c r="S4" s="59">
        <v>0.3289495442739998</v>
      </c>
      <c r="T4" s="59">
        <v>0.326112120156972</v>
      </c>
      <c r="U4" s="59">
        <v>0.32523950794580603</v>
      </c>
      <c r="V4" s="59">
        <v>0.32670775504955407</v>
      </c>
    </row>
    <row r="5" spans="1:22" ht="12.75">
      <c r="A5" s="92" t="s">
        <v>119</v>
      </c>
      <c r="B5" s="59">
        <v>0.17162553903399339</v>
      </c>
      <c r="C5" s="59">
        <v>0.17270930396724551</v>
      </c>
      <c r="D5" s="59">
        <v>0.1735035781751996</v>
      </c>
      <c r="E5" s="59">
        <v>0.17178569015607054</v>
      </c>
      <c r="F5" s="59">
        <v>0.17207757704569607</v>
      </c>
      <c r="G5" s="59">
        <v>0.1721202068241606</v>
      </c>
      <c r="H5" s="59">
        <v>0.17345873848190194</v>
      </c>
      <c r="I5" s="59">
        <v>0.17254470976121491</v>
      </c>
      <c r="J5" s="59">
        <v>0.17386233844304178</v>
      </c>
      <c r="K5" s="59">
        <v>0.17760344053498428</v>
      </c>
      <c r="L5" s="59">
        <v>0.17466779756856093</v>
      </c>
      <c r="M5" s="59">
        <v>0.17663497931520114</v>
      </c>
      <c r="N5" s="59">
        <v>0.17323313728211095</v>
      </c>
      <c r="O5" s="59">
        <v>0.17488485941576218</v>
      </c>
      <c r="P5" s="59">
        <v>0.1721422237236603</v>
      </c>
      <c r="Q5" s="59">
        <v>0.17015548708709938</v>
      </c>
      <c r="R5" s="59">
        <v>0.16592117563098696</v>
      </c>
      <c r="S5" s="59">
        <v>0.16189216268007742</v>
      </c>
      <c r="T5" s="59">
        <v>0.16165855770226142</v>
      </c>
      <c r="U5" s="59">
        <v>0.1636968311256401</v>
      </c>
      <c r="V5" s="59">
        <v>0.1590322491756299</v>
      </c>
    </row>
    <row r="6" spans="1:22" ht="12.75">
      <c r="A6" s="92" t="s">
        <v>120</v>
      </c>
      <c r="B6" s="59">
        <v>0.15046800409593725</v>
      </c>
      <c r="C6" s="59">
        <v>0.15521671608075674</v>
      </c>
      <c r="D6" s="59">
        <v>0.15527487831446576</v>
      </c>
      <c r="E6" s="59">
        <v>0.15717856901560706</v>
      </c>
      <c r="F6" s="59">
        <v>0.15856801275239107</v>
      </c>
      <c r="G6" s="59">
        <v>0.15701012090660516</v>
      </c>
      <c r="H6" s="59">
        <v>0.1560606831950313</v>
      </c>
      <c r="I6" s="59">
        <v>0.1603681686482166</v>
      </c>
      <c r="J6" s="59">
        <v>0.16132251277427112</v>
      </c>
      <c r="K6" s="59">
        <v>0.16274014036248494</v>
      </c>
      <c r="L6" s="59">
        <v>0.1578286683630195</v>
      </c>
      <c r="M6" s="59">
        <v>0.15598318809963913</v>
      </c>
      <c r="N6" s="59">
        <v>0.15590875612437688</v>
      </c>
      <c r="O6" s="59">
        <v>0.1518030639741484</v>
      </c>
      <c r="P6" s="59">
        <v>0.15197837929141506</v>
      </c>
      <c r="Q6" s="59">
        <v>0.15259025723439756</v>
      </c>
      <c r="R6" s="59">
        <v>0.14965774422788908</v>
      </c>
      <c r="S6" s="59">
        <v>0.14795288075250723</v>
      </c>
      <c r="T6" s="59">
        <v>0.1469871354495064</v>
      </c>
      <c r="U6" s="59">
        <v>0.1447346044103475</v>
      </c>
      <c r="V6" s="59">
        <v>0.1453830680346465</v>
      </c>
    </row>
    <row r="7" spans="1:22" ht="12.75">
      <c r="A7" s="92" t="s">
        <v>121</v>
      </c>
      <c r="B7" s="59">
        <v>0.09075962328915298</v>
      </c>
      <c r="C7" s="59">
        <v>0.08989128900183538</v>
      </c>
      <c r="D7" s="59">
        <v>0.08695172565944596</v>
      </c>
      <c r="E7" s="59">
        <v>0.08807513005877982</v>
      </c>
      <c r="F7" s="59">
        <v>0.08524176408076514</v>
      </c>
      <c r="G7" s="59">
        <v>0.07990462244223567</v>
      </c>
      <c r="H7" s="59">
        <v>0.07921396935295016</v>
      </c>
      <c r="I7" s="59">
        <v>0.07729293635727845</v>
      </c>
      <c r="J7" s="59">
        <v>0.07710249474000601</v>
      </c>
      <c r="K7" s="59">
        <v>0.07344218908764384</v>
      </c>
      <c r="L7" s="59">
        <v>0.07114503816793893</v>
      </c>
      <c r="M7" s="59">
        <v>0.06887597922718071</v>
      </c>
      <c r="N7" s="59">
        <v>0.07063181153464343</v>
      </c>
      <c r="O7" s="59">
        <v>0.06703382824997048</v>
      </c>
      <c r="P7" s="59">
        <v>0.06621342004138339</v>
      </c>
      <c r="Q7" s="59">
        <v>0.06668850378225666</v>
      </c>
      <c r="R7" s="59">
        <v>0.06520449908028185</v>
      </c>
      <c r="S7" s="59">
        <v>0.06470628289057713</v>
      </c>
      <c r="T7" s="59">
        <v>0.06442627116251494</v>
      </c>
      <c r="U7" s="59">
        <v>0.06468131743542262</v>
      </c>
      <c r="V7" s="59">
        <v>0.06432383279293843</v>
      </c>
    </row>
    <row r="8" spans="1:22" ht="12.75">
      <c r="A8" s="92" t="s">
        <v>122</v>
      </c>
      <c r="B8" s="59">
        <v>0.04462264014883828</v>
      </c>
      <c r="C8" s="59">
        <v>0.04421855146124524</v>
      </c>
      <c r="D8" s="59">
        <v>0.042152144836810394</v>
      </c>
      <c r="E8" s="59">
        <v>0.04092966691439768</v>
      </c>
      <c r="F8" s="59">
        <v>0.038164187035069075</v>
      </c>
      <c r="G8" s="59">
        <v>0.03505384425985201</v>
      </c>
      <c r="H8" s="59">
        <v>0.033230667413327905</v>
      </c>
      <c r="I8" s="59">
        <v>0.033657208512338894</v>
      </c>
      <c r="J8" s="59">
        <v>0.029552149083258192</v>
      </c>
      <c r="K8" s="59">
        <v>0.02872232330631631</v>
      </c>
      <c r="L8" s="59">
        <v>0.0247102063895957</v>
      </c>
      <c r="M8" s="59">
        <v>0.022533227708828447</v>
      </c>
      <c r="N8" s="59">
        <v>0.024967176542168804</v>
      </c>
      <c r="O8" s="59">
        <v>0.022620159532781518</v>
      </c>
      <c r="P8" s="59">
        <v>0.02297200287150036</v>
      </c>
      <c r="Q8" s="59">
        <v>0.024259670600759523</v>
      </c>
      <c r="R8" s="59">
        <v>0.02386241418476786</v>
      </c>
      <c r="S8" s="59">
        <v>0.022178341098995167</v>
      </c>
      <c r="T8" s="59">
        <v>0.022275340905882686</v>
      </c>
      <c r="U8" s="59">
        <v>0.022807581111468037</v>
      </c>
      <c r="V8" s="59">
        <v>0.02344058564723388</v>
      </c>
    </row>
    <row r="9" spans="1:22" ht="12.75">
      <c r="A9" s="92" t="s">
        <v>123</v>
      </c>
      <c r="B9" s="59">
        <v>0.0385508458687281</v>
      </c>
      <c r="C9" s="59">
        <v>0.03693350275307073</v>
      </c>
      <c r="D9" s="59">
        <v>0.033851329922921</v>
      </c>
      <c r="E9" s="59">
        <v>0.030376325923924058</v>
      </c>
      <c r="F9" s="59">
        <v>0.027351222104144528</v>
      </c>
      <c r="G9" s="59">
        <v>0.024777430767037725</v>
      </c>
      <c r="H9" s="59">
        <v>0.0223234740110981</v>
      </c>
      <c r="I9" s="59">
        <v>0.021917774003396943</v>
      </c>
      <c r="J9" s="59">
        <v>0.019849714457469192</v>
      </c>
      <c r="K9" s="59">
        <v>0.018006096552376002</v>
      </c>
      <c r="L9" s="59">
        <v>0.014973141080011309</v>
      </c>
      <c r="M9" s="59">
        <v>0.014182290291347592</v>
      </c>
      <c r="N9" s="59">
        <v>0.015253567883180512</v>
      </c>
      <c r="O9" s="59">
        <v>0.014858234833113252</v>
      </c>
      <c r="P9" s="59">
        <v>0.013512942865588446</v>
      </c>
      <c r="Q9" s="59">
        <v>0.013081797058131084</v>
      </c>
      <c r="R9" s="59">
        <v>0.0150170374018716</v>
      </c>
      <c r="S9" s="59">
        <v>0.012645545363462156</v>
      </c>
      <c r="T9" s="59">
        <v>0.013636235307403469</v>
      </c>
      <c r="U9" s="59">
        <v>0.012688724702858978</v>
      </c>
      <c r="V9" s="59">
        <v>0.013088885010700737</v>
      </c>
    </row>
    <row r="10" spans="1:22" ht="12.75">
      <c r="A10" s="92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ht="12.75">
      <c r="A11" s="92" t="s">
        <v>124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s="92" t="s">
        <v>126</v>
      </c>
      <c r="B12" s="59">
        <v>0.20059996827090876</v>
      </c>
      <c r="C12" s="59">
        <v>0.19495976281236765</v>
      </c>
      <c r="D12" s="59">
        <v>0.19804751596045392</v>
      </c>
      <c r="E12" s="59">
        <v>0.20049996621849875</v>
      </c>
      <c r="F12" s="59">
        <v>0.20982996811902233</v>
      </c>
      <c r="G12" s="59">
        <v>0.2223489315380927</v>
      </c>
      <c r="H12" s="59">
        <v>0.22571654024334367</v>
      </c>
      <c r="I12" s="59">
        <v>0.2215256269357578</v>
      </c>
      <c r="J12" s="59">
        <v>0.22439434926360083</v>
      </c>
      <c r="K12" s="59">
        <v>0.2243200453696921</v>
      </c>
      <c r="L12" s="59">
        <v>0.2373423805484874</v>
      </c>
      <c r="M12" s="59">
        <v>0.24150602939882052</v>
      </c>
      <c r="N12" s="59">
        <v>0.23863454415422222</v>
      </c>
      <c r="O12" s="59">
        <v>0.2404049513135152</v>
      </c>
      <c r="P12" s="59">
        <v>0.24269456526329125</v>
      </c>
      <c r="Q12" s="59">
        <v>0.2463840807427349</v>
      </c>
      <c r="R12" s="59">
        <v>0.2539326746208047</v>
      </c>
      <c r="S12" s="59">
        <v>0.26167524294038114</v>
      </c>
      <c r="T12" s="59">
        <v>0.2649043393154591</v>
      </c>
      <c r="U12" s="59">
        <v>0.26616088131365623</v>
      </c>
      <c r="V12" s="59">
        <v>0.26803280947176017</v>
      </c>
    </row>
    <row r="13" spans="1:22" ht="12.75">
      <c r="A13" s="92" t="s">
        <v>125</v>
      </c>
      <c r="B13" s="59">
        <v>0.6565037425905361</v>
      </c>
      <c r="C13" s="59">
        <v>0.6583368629111959</v>
      </c>
      <c r="D13" s="59">
        <v>0.6472980985342581</v>
      </c>
      <c r="E13" s="59">
        <v>0.6404837510978988</v>
      </c>
      <c r="F13" s="59">
        <v>0.6246280552603614</v>
      </c>
      <c r="G13" s="59">
        <v>0.6046237381264011</v>
      </c>
      <c r="H13" s="59">
        <v>0.5997174566003156</v>
      </c>
      <c r="I13" s="59">
        <v>0.5910555500049955</v>
      </c>
      <c r="J13" s="59">
        <v>0.6006492335437331</v>
      </c>
      <c r="K13" s="59">
        <v>0.5969068267208583</v>
      </c>
      <c r="L13" s="59">
        <v>0.5651342945999435</v>
      </c>
      <c r="M13" s="59">
        <v>0.5555298829328404</v>
      </c>
      <c r="N13" s="59">
        <v>0.5360310835477088</v>
      </c>
      <c r="O13" s="59">
        <v>0.5340483322060828</v>
      </c>
      <c r="P13" s="59">
        <v>0.5245027659304928</v>
      </c>
      <c r="Q13" s="59">
        <v>0.5195561606256334</v>
      </c>
      <c r="R13" s="59">
        <v>0.5252746590006735</v>
      </c>
      <c r="S13" s="59">
        <v>0.5171930780230148</v>
      </c>
      <c r="T13" s="59">
        <v>0.5054535530439201</v>
      </c>
      <c r="U13" s="59">
        <v>0.5058672360688573</v>
      </c>
      <c r="V13" s="59">
        <v>0.5021355549227985</v>
      </c>
    </row>
    <row r="14" spans="1:22" ht="12.75">
      <c r="A14" s="92" t="s">
        <v>127</v>
      </c>
      <c r="B14" s="59">
        <v>0.04372845666815697</v>
      </c>
      <c r="C14" s="59">
        <v>0.03953127205986164</v>
      </c>
      <c r="D14" s="59">
        <v>0.04331039808060891</v>
      </c>
      <c r="E14" s="59">
        <v>0.045388825079386526</v>
      </c>
      <c r="F14" s="59">
        <v>0.04938894792773645</v>
      </c>
      <c r="G14" s="59">
        <v>0.05026760143584693</v>
      </c>
      <c r="H14" s="59">
        <v>0.05118871862750089</v>
      </c>
      <c r="I14" s="59">
        <v>0.05325207313417924</v>
      </c>
      <c r="J14" s="59">
        <v>0.05620679290652239</v>
      </c>
      <c r="K14" s="59">
        <v>0.05718471608497365</v>
      </c>
      <c r="L14" s="59">
        <v>0.06402035623409669</v>
      </c>
      <c r="M14" s="59">
        <v>0.06675248657688584</v>
      </c>
      <c r="N14" s="59">
        <v>0.08050553462207657</v>
      </c>
      <c r="O14" s="59">
        <v>0.07834927587576626</v>
      </c>
      <c r="P14" s="59">
        <v>0.08197500105569866</v>
      </c>
      <c r="Q14" s="59">
        <v>0.08159233517242791</v>
      </c>
      <c r="R14" s="59">
        <v>0.07755787188275855</v>
      </c>
      <c r="S14" s="59">
        <v>0.0781591976887834</v>
      </c>
      <c r="T14" s="59">
        <v>0.08075399252783241</v>
      </c>
      <c r="U14" s="59">
        <v>0.08031783224050944</v>
      </c>
      <c r="V14" s="59">
        <v>0.08172056837909085</v>
      </c>
    </row>
    <row r="15" spans="1:22" ht="12.75">
      <c r="A15" s="92" t="s">
        <v>128</v>
      </c>
      <c r="B15" s="59">
        <v>0.09918225478460274</v>
      </c>
      <c r="C15" s="59">
        <v>0.10715798390512495</v>
      </c>
      <c r="D15" s="59">
        <v>0.11134398742467906</v>
      </c>
      <c r="E15" s="59">
        <v>0.11362745760421593</v>
      </c>
      <c r="F15" s="59">
        <v>0.11615302869287991</v>
      </c>
      <c r="G15" s="59">
        <v>0.12275972889965918</v>
      </c>
      <c r="H15" s="59">
        <v>0.1233772845288398</v>
      </c>
      <c r="I15" s="59">
        <v>0.13416674992506744</v>
      </c>
      <c r="J15" s="59">
        <v>0.11874962428614368</v>
      </c>
      <c r="K15" s="59">
        <v>0.12158841182447601</v>
      </c>
      <c r="L15" s="59">
        <v>0.13351427763641505</v>
      </c>
      <c r="M15" s="59">
        <v>0.13620059853886102</v>
      </c>
      <c r="N15" s="59">
        <v>0.14482883767599244</v>
      </c>
      <c r="O15" s="59">
        <v>0.14720817632344574</v>
      </c>
      <c r="P15" s="59">
        <v>0.15082766775051729</v>
      </c>
      <c r="Q15" s="59">
        <v>0.15246742345920383</v>
      </c>
      <c r="R15" s="59">
        <v>0.14323479449576326</v>
      </c>
      <c r="S15" s="59">
        <v>0.1429627540052333</v>
      </c>
      <c r="T15" s="59">
        <v>0.14888811511278832</v>
      </c>
      <c r="U15" s="59">
        <v>0.14766349842217646</v>
      </c>
      <c r="V15" s="59">
        <v>0.14811106722635045</v>
      </c>
    </row>
    <row r="16" spans="1:22" ht="12.75">
      <c r="A16" s="9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s="102" t="s">
        <v>62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2.75">
      <c r="A18" s="102" t="s">
        <v>63</v>
      </c>
      <c r="B18" s="59">
        <v>0.42532846820600834</v>
      </c>
      <c r="C18" s="59">
        <v>0.4211068756176761</v>
      </c>
      <c r="D18" s="59">
        <v>0.41211753512678734</v>
      </c>
      <c r="E18" s="59">
        <v>0.40914803053847715</v>
      </c>
      <c r="F18" s="59">
        <v>0.4031083953241233</v>
      </c>
      <c r="G18" s="59">
        <v>0.3933287545194189</v>
      </c>
      <c r="H18" s="59">
        <v>0.387873542737871</v>
      </c>
      <c r="I18" s="59">
        <v>0.3843166150464582</v>
      </c>
      <c r="J18" s="59">
        <v>0.3760384730988879</v>
      </c>
      <c r="K18" s="59">
        <v>0.36949124506722747</v>
      </c>
      <c r="L18" s="59">
        <v>0.38409951936669495</v>
      </c>
      <c r="M18" s="59">
        <v>0.37643033183698615</v>
      </c>
      <c r="N18" s="59">
        <v>0.38111503687969</v>
      </c>
      <c r="O18" s="59">
        <v>0.37132704220211066</v>
      </c>
      <c r="P18" s="59">
        <v>0.37402347873822894</v>
      </c>
      <c r="Q18" s="59">
        <v>0.3811532044261104</v>
      </c>
      <c r="R18" s="59">
        <v>0.37059113250977516</v>
      </c>
      <c r="S18" s="59">
        <v>0.3625575129130473</v>
      </c>
      <c r="T18" s="59">
        <v>0.36402819472807524</v>
      </c>
      <c r="U18" s="59">
        <v>0.3605185087205457</v>
      </c>
      <c r="V18" s="59">
        <v>0.3535652285732656</v>
      </c>
    </row>
    <row r="19" spans="1:22" ht="12.75">
      <c r="A19" s="92" t="s">
        <v>33</v>
      </c>
      <c r="B19" s="59">
        <v>0.5746715317939917</v>
      </c>
      <c r="C19" s="59">
        <v>0.5788931243823239</v>
      </c>
      <c r="D19" s="59">
        <v>0.5878824648732126</v>
      </c>
      <c r="E19" s="59">
        <v>0.5908519694615229</v>
      </c>
      <c r="F19" s="59">
        <v>0.5968916046758768</v>
      </c>
      <c r="G19" s="59">
        <v>0.606671245480581</v>
      </c>
      <c r="H19" s="59">
        <v>0.612126457262129</v>
      </c>
      <c r="I19" s="59">
        <v>0.6156833849535418</v>
      </c>
      <c r="J19" s="59">
        <v>0.6239615269011121</v>
      </c>
      <c r="K19" s="59">
        <v>0.6305087549327725</v>
      </c>
      <c r="L19" s="59">
        <v>0.615900480633305</v>
      </c>
      <c r="M19" s="59">
        <v>0.6235696681630138</v>
      </c>
      <c r="N19" s="59">
        <v>0.6188849631203099</v>
      </c>
      <c r="O19" s="59">
        <v>0.6286729577978893</v>
      </c>
      <c r="P19" s="59">
        <v>0.6259765212617711</v>
      </c>
      <c r="Q19" s="59">
        <v>0.6188570317218225</v>
      </c>
      <c r="R19" s="59">
        <v>0.6294088674902248</v>
      </c>
      <c r="S19" s="59">
        <v>0.6374327597443654</v>
      </c>
      <c r="T19" s="59">
        <v>0.6359718052719248</v>
      </c>
      <c r="U19" s="59">
        <v>0.6394814912794543</v>
      </c>
      <c r="V19" s="59">
        <v>0.6464347714267344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selection activeCell="C1" sqref="A1:IV1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s="18" t="s">
        <v>279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8" t="s">
        <v>280</v>
      </c>
      <c r="B3" s="14" t="s">
        <v>242</v>
      </c>
      <c r="C3" s="53">
        <v>19438</v>
      </c>
      <c r="D3" s="53">
        <v>15462</v>
      </c>
      <c r="E3" s="53">
        <v>15741</v>
      </c>
      <c r="F3" s="53">
        <v>16292</v>
      </c>
      <c r="G3" s="53">
        <v>16345</v>
      </c>
      <c r="H3" s="53">
        <v>16729</v>
      </c>
      <c r="I3" s="53">
        <v>16700</v>
      </c>
      <c r="J3" s="53">
        <v>17123</v>
      </c>
      <c r="K3" s="14" t="s">
        <v>242</v>
      </c>
      <c r="L3" s="14" t="s">
        <v>242</v>
      </c>
      <c r="M3" s="14" t="s">
        <v>242</v>
      </c>
      <c r="N3" s="14" t="s">
        <v>242</v>
      </c>
      <c r="O3" s="14" t="s">
        <v>242</v>
      </c>
      <c r="P3" s="14" t="s">
        <v>242</v>
      </c>
      <c r="Q3" s="14" t="s">
        <v>242</v>
      </c>
      <c r="R3" s="9">
        <v>19932</v>
      </c>
      <c r="S3" s="9">
        <v>20008</v>
      </c>
      <c r="T3" s="9">
        <v>20418</v>
      </c>
      <c r="U3" s="9">
        <v>19112</v>
      </c>
      <c r="V3" s="9">
        <v>19783</v>
      </c>
    </row>
    <row r="4" spans="1:22" ht="12.75">
      <c r="A4" s="18" t="s">
        <v>281</v>
      </c>
      <c r="B4" s="14" t="s">
        <v>242</v>
      </c>
      <c r="C4" s="53">
        <v>15093</v>
      </c>
      <c r="D4" s="53">
        <v>14817</v>
      </c>
      <c r="E4" s="53">
        <v>15465</v>
      </c>
      <c r="F4" s="53">
        <v>15970</v>
      </c>
      <c r="G4" s="53">
        <v>16727</v>
      </c>
      <c r="H4" s="53">
        <v>16790</v>
      </c>
      <c r="I4" s="53">
        <v>16749</v>
      </c>
      <c r="J4" s="53">
        <v>17756</v>
      </c>
      <c r="K4" s="14" t="s">
        <v>242</v>
      </c>
      <c r="L4" s="14" t="s">
        <v>242</v>
      </c>
      <c r="M4" s="14" t="s">
        <v>242</v>
      </c>
      <c r="N4" s="14" t="s">
        <v>242</v>
      </c>
      <c r="O4" s="14" t="s">
        <v>242</v>
      </c>
      <c r="P4" s="14" t="s">
        <v>242</v>
      </c>
      <c r="Q4" s="14" t="s">
        <v>242</v>
      </c>
      <c r="R4" s="9">
        <v>20652</v>
      </c>
      <c r="S4" s="9">
        <v>20995</v>
      </c>
      <c r="T4" s="9">
        <v>21443</v>
      </c>
      <c r="U4" s="9">
        <v>20551</v>
      </c>
      <c r="V4" s="9">
        <v>21687</v>
      </c>
    </row>
    <row r="5" spans="1:22" ht="12.75">
      <c r="A5" s="18" t="s">
        <v>282</v>
      </c>
      <c r="B5" s="14" t="s">
        <v>242</v>
      </c>
      <c r="C5" s="53">
        <v>7846</v>
      </c>
      <c r="D5" s="53">
        <v>7101</v>
      </c>
      <c r="E5" s="53">
        <v>6909</v>
      </c>
      <c r="F5" s="53">
        <v>6955</v>
      </c>
      <c r="G5" s="53">
        <v>7339</v>
      </c>
      <c r="H5" s="53">
        <v>7380</v>
      </c>
      <c r="I5" s="53">
        <v>7151</v>
      </c>
      <c r="J5" s="53">
        <v>7573</v>
      </c>
      <c r="K5" s="14" t="s">
        <v>242</v>
      </c>
      <c r="L5" s="14" t="s">
        <v>242</v>
      </c>
      <c r="M5" s="14" t="s">
        <v>242</v>
      </c>
      <c r="N5" s="14" t="s">
        <v>242</v>
      </c>
      <c r="O5" s="14" t="s">
        <v>242</v>
      </c>
      <c r="P5" s="14" t="s">
        <v>242</v>
      </c>
      <c r="Q5" s="14" t="s">
        <v>242</v>
      </c>
      <c r="R5" s="9">
        <v>8643</v>
      </c>
      <c r="S5" s="9">
        <v>9228</v>
      </c>
      <c r="T5" s="9">
        <v>9221</v>
      </c>
      <c r="U5" s="9">
        <v>9150</v>
      </c>
      <c r="V5" s="9">
        <v>9945</v>
      </c>
    </row>
    <row r="6" spans="1:22" ht="12.75">
      <c r="A6" s="18" t="s">
        <v>283</v>
      </c>
      <c r="B6" s="14" t="s">
        <v>242</v>
      </c>
      <c r="C6" s="53">
        <v>2907</v>
      </c>
      <c r="D6" s="53">
        <v>2513</v>
      </c>
      <c r="E6" s="53">
        <v>2422</v>
      </c>
      <c r="F6" s="53">
        <v>2502</v>
      </c>
      <c r="G6" s="53">
        <v>2574</v>
      </c>
      <c r="H6" s="53">
        <v>2638</v>
      </c>
      <c r="I6" s="53">
        <v>2750</v>
      </c>
      <c r="J6" s="53">
        <v>2782</v>
      </c>
      <c r="K6" s="14" t="s">
        <v>242</v>
      </c>
      <c r="L6" s="14" t="s">
        <v>242</v>
      </c>
      <c r="M6" s="14" t="s">
        <v>242</v>
      </c>
      <c r="N6" s="14" t="s">
        <v>242</v>
      </c>
      <c r="O6" s="14" t="s">
        <v>242</v>
      </c>
      <c r="P6" s="14" t="s">
        <v>242</v>
      </c>
      <c r="Q6" s="14" t="s">
        <v>242</v>
      </c>
      <c r="R6" s="9">
        <v>3487</v>
      </c>
      <c r="S6" s="9">
        <v>3682</v>
      </c>
      <c r="T6" s="9">
        <v>3812</v>
      </c>
      <c r="U6" s="9">
        <v>3865</v>
      </c>
      <c r="V6" s="9">
        <v>4081</v>
      </c>
    </row>
    <row r="7" spans="1:22" ht="12.75">
      <c r="A7" s="18" t="s">
        <v>284</v>
      </c>
      <c r="B7" s="14" t="s">
        <v>242</v>
      </c>
      <c r="C7" s="53">
        <v>1949</v>
      </c>
      <c r="D7" s="53">
        <v>1759</v>
      </c>
      <c r="E7" s="53">
        <v>1721</v>
      </c>
      <c r="F7" s="53">
        <v>1680</v>
      </c>
      <c r="G7" s="53">
        <v>1915</v>
      </c>
      <c r="H7" s="53">
        <v>1911</v>
      </c>
      <c r="I7" s="53">
        <v>1851</v>
      </c>
      <c r="J7" s="53">
        <v>1957</v>
      </c>
      <c r="K7" s="14" t="s">
        <v>242</v>
      </c>
      <c r="L7" s="14" t="s">
        <v>242</v>
      </c>
      <c r="M7" s="14" t="s">
        <v>242</v>
      </c>
      <c r="N7" s="14" t="s">
        <v>242</v>
      </c>
      <c r="O7" s="14" t="s">
        <v>242</v>
      </c>
      <c r="P7" s="14" t="s">
        <v>242</v>
      </c>
      <c r="Q7" s="14" t="s">
        <v>242</v>
      </c>
      <c r="R7" s="9">
        <v>2052</v>
      </c>
      <c r="S7" s="9">
        <v>2150</v>
      </c>
      <c r="T7" s="9">
        <v>2272</v>
      </c>
      <c r="U7" s="9">
        <v>2107</v>
      </c>
      <c r="V7" s="9">
        <v>2331</v>
      </c>
    </row>
    <row r="8" spans="1:22" ht="12.75">
      <c r="A8" s="18" t="s">
        <v>285</v>
      </c>
      <c r="B8" s="14" t="s">
        <v>242</v>
      </c>
      <c r="C8" s="53">
        <v>608</v>
      </c>
      <c r="D8" s="53">
        <v>516</v>
      </c>
      <c r="E8" s="53">
        <v>520</v>
      </c>
      <c r="F8" s="53">
        <v>592</v>
      </c>
      <c r="G8" s="53">
        <v>577</v>
      </c>
      <c r="H8" s="53">
        <v>593</v>
      </c>
      <c r="I8" s="53">
        <v>923</v>
      </c>
      <c r="J8" s="53">
        <v>661</v>
      </c>
      <c r="K8" s="14" t="s">
        <v>242</v>
      </c>
      <c r="L8" s="14" t="s">
        <v>242</v>
      </c>
      <c r="M8" s="14" t="s">
        <v>242</v>
      </c>
      <c r="N8" s="14" t="s">
        <v>242</v>
      </c>
      <c r="O8" s="14" t="s">
        <v>242</v>
      </c>
      <c r="P8" s="14" t="s">
        <v>242</v>
      </c>
      <c r="Q8" s="14" t="s">
        <v>242</v>
      </c>
      <c r="R8" s="9">
        <v>851</v>
      </c>
      <c r="S8" s="9">
        <v>789</v>
      </c>
      <c r="T8" s="9">
        <v>804</v>
      </c>
      <c r="U8" s="9">
        <v>759</v>
      </c>
      <c r="V8" s="9">
        <v>855</v>
      </c>
    </row>
    <row r="9" spans="1:22" ht="12.75">
      <c r="A9" s="18" t="s">
        <v>286</v>
      </c>
      <c r="B9" s="14" t="s">
        <v>242</v>
      </c>
      <c r="C9" s="53"/>
      <c r="D9" s="53">
        <v>1597</v>
      </c>
      <c r="E9" s="53">
        <v>1324</v>
      </c>
      <c r="F9" s="53">
        <v>1343</v>
      </c>
      <c r="G9" s="53">
        <v>1315</v>
      </c>
      <c r="H9" s="53">
        <v>1261</v>
      </c>
      <c r="I9" s="53">
        <v>1487</v>
      </c>
      <c r="J9" s="53">
        <v>1476</v>
      </c>
      <c r="K9" s="14" t="s">
        <v>242</v>
      </c>
      <c r="L9" s="14" t="s">
        <v>242</v>
      </c>
      <c r="M9" s="14" t="s">
        <v>242</v>
      </c>
      <c r="N9" s="14" t="s">
        <v>242</v>
      </c>
      <c r="O9" s="14" t="s">
        <v>242</v>
      </c>
      <c r="P9" s="14" t="s">
        <v>242</v>
      </c>
      <c r="Q9" s="14" t="s">
        <v>242</v>
      </c>
      <c r="R9" s="9">
        <v>1903</v>
      </c>
      <c r="S9" s="9">
        <v>1745</v>
      </c>
      <c r="T9" s="9">
        <v>1904</v>
      </c>
      <c r="U9" s="9">
        <v>2040</v>
      </c>
      <c r="V9" s="9">
        <v>2426</v>
      </c>
    </row>
    <row r="10" spans="1:22" ht="12.75">
      <c r="A10" s="18" t="s">
        <v>287</v>
      </c>
      <c r="B10" s="14" t="s">
        <v>242</v>
      </c>
      <c r="C10" s="53">
        <v>2129</v>
      </c>
      <c r="D10" s="53">
        <v>5099</v>
      </c>
      <c r="E10" s="53">
        <v>5634</v>
      </c>
      <c r="F10" s="53">
        <v>5998</v>
      </c>
      <c r="G10" s="53">
        <v>6098</v>
      </c>
      <c r="H10" s="53">
        <v>6316</v>
      </c>
      <c r="I10" s="53">
        <v>6461</v>
      </c>
      <c r="J10" s="53">
        <v>6772</v>
      </c>
      <c r="K10" s="14" t="s">
        <v>242</v>
      </c>
      <c r="L10" s="14" t="s">
        <v>242</v>
      </c>
      <c r="M10" s="14" t="s">
        <v>242</v>
      </c>
      <c r="N10" s="14" t="s">
        <v>242</v>
      </c>
      <c r="O10" s="14" t="s">
        <v>242</v>
      </c>
      <c r="P10" s="14" t="s">
        <v>242</v>
      </c>
      <c r="Q10" s="14" t="s">
        <v>242</v>
      </c>
      <c r="R10" s="9">
        <v>5907</v>
      </c>
      <c r="S10" s="9">
        <v>5848</v>
      </c>
      <c r="T10" s="9">
        <v>5834</v>
      </c>
      <c r="U10" s="9">
        <v>5702</v>
      </c>
      <c r="V10" s="9">
        <v>6270</v>
      </c>
    </row>
    <row r="11" spans="1:22" ht="12.75">
      <c r="A11" s="18" t="s">
        <v>86</v>
      </c>
      <c r="B11" s="14" t="s">
        <v>242</v>
      </c>
      <c r="C11" s="14">
        <v>19.454879745577422</v>
      </c>
      <c r="D11" s="14">
        <v>20.691435513261794</v>
      </c>
      <c r="E11" s="14">
        <v>20.478176527643065</v>
      </c>
      <c r="F11" s="14">
        <v>20.357075767063243</v>
      </c>
      <c r="G11" s="14">
        <v>20.733395109702876</v>
      </c>
      <c r="H11" s="14">
        <v>20.620756402620607</v>
      </c>
      <c r="I11" s="14">
        <v>20.69765359125918</v>
      </c>
      <c r="J11" s="14">
        <v>20.747071412480288</v>
      </c>
      <c r="K11" s="14" t="s">
        <v>242</v>
      </c>
      <c r="L11" s="14" t="s">
        <v>242</v>
      </c>
      <c r="M11" s="14" t="s">
        <v>242</v>
      </c>
      <c r="N11" s="14" t="s">
        <v>242</v>
      </c>
      <c r="O11" s="14" t="s">
        <v>242</v>
      </c>
      <c r="P11" s="14" t="s">
        <v>242</v>
      </c>
      <c r="Q11" s="14" t="s">
        <v>242</v>
      </c>
      <c r="R11" s="9">
        <v>21</v>
      </c>
      <c r="S11" s="9">
        <v>21</v>
      </c>
      <c r="T11" s="9">
        <v>21</v>
      </c>
      <c r="U11" s="9">
        <v>21</v>
      </c>
      <c r="V11" s="9">
        <v>22</v>
      </c>
    </row>
    <row r="12" spans="1:22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3" ht="12.75">
      <c r="A13" s="18" t="s">
        <v>289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8"/>
    </row>
    <row r="14" spans="1:22" ht="12.75">
      <c r="A14" s="18" t="s">
        <v>290</v>
      </c>
      <c r="B14" s="14" t="s">
        <v>242</v>
      </c>
      <c r="C14" s="53">
        <v>6762</v>
      </c>
      <c r="D14" s="53">
        <v>4485</v>
      </c>
      <c r="E14" s="53">
        <v>4149</v>
      </c>
      <c r="F14" s="53">
        <v>4322</v>
      </c>
      <c r="G14" s="53">
        <v>4431</v>
      </c>
      <c r="H14" s="53">
        <v>4376</v>
      </c>
      <c r="I14" s="53">
        <v>4266</v>
      </c>
      <c r="J14" s="53">
        <v>4524</v>
      </c>
      <c r="K14" s="14" t="s">
        <v>242</v>
      </c>
      <c r="L14" s="14" t="s">
        <v>242</v>
      </c>
      <c r="M14" s="14" t="s">
        <v>242</v>
      </c>
      <c r="N14" s="14" t="s">
        <v>242</v>
      </c>
      <c r="O14" s="14" t="s">
        <v>242</v>
      </c>
      <c r="P14" s="14" t="s">
        <v>242</v>
      </c>
      <c r="Q14" s="14" t="s">
        <v>242</v>
      </c>
      <c r="R14" s="9">
        <v>2781</v>
      </c>
      <c r="S14" s="9">
        <v>2666</v>
      </c>
      <c r="T14" s="9">
        <v>2848</v>
      </c>
      <c r="U14" s="9">
        <v>2530</v>
      </c>
      <c r="V14" s="9">
        <v>2552</v>
      </c>
    </row>
    <row r="15" spans="1:22" ht="12.75">
      <c r="A15" s="18" t="s">
        <v>291</v>
      </c>
      <c r="B15" s="14" t="s">
        <v>242</v>
      </c>
      <c r="C15" s="53">
        <v>11691</v>
      </c>
      <c r="D15" s="53">
        <v>13277</v>
      </c>
      <c r="E15" s="53">
        <v>13274</v>
      </c>
      <c r="F15" s="53">
        <v>13795</v>
      </c>
      <c r="G15" s="53">
        <v>11938</v>
      </c>
      <c r="H15" s="53">
        <v>12223</v>
      </c>
      <c r="I15" s="53">
        <v>11933</v>
      </c>
      <c r="J15" s="53">
        <v>12254</v>
      </c>
      <c r="K15" s="14" t="s">
        <v>242</v>
      </c>
      <c r="L15" s="14" t="s">
        <v>242</v>
      </c>
      <c r="M15" s="14" t="s">
        <v>242</v>
      </c>
      <c r="N15" s="14" t="s">
        <v>242</v>
      </c>
      <c r="O15" s="14" t="s">
        <v>242</v>
      </c>
      <c r="P15" s="14" t="s">
        <v>242</v>
      </c>
      <c r="Q15" s="14" t="s">
        <v>242</v>
      </c>
      <c r="R15" s="9">
        <v>12955</v>
      </c>
      <c r="S15" s="9">
        <v>12849</v>
      </c>
      <c r="T15" s="9">
        <v>12576</v>
      </c>
      <c r="U15" s="9">
        <v>11899</v>
      </c>
      <c r="V15" s="9">
        <v>12060</v>
      </c>
    </row>
    <row r="16" spans="1:22" ht="12.75">
      <c r="A16" s="18" t="s">
        <v>292</v>
      </c>
      <c r="B16" s="14" t="s">
        <v>242</v>
      </c>
      <c r="C16" s="53">
        <v>10405</v>
      </c>
      <c r="D16" s="53">
        <v>8669</v>
      </c>
      <c r="E16" s="53">
        <v>8748</v>
      </c>
      <c r="F16" s="53">
        <v>8796</v>
      </c>
      <c r="G16" s="53">
        <v>10357</v>
      </c>
      <c r="H16" s="53">
        <v>10514</v>
      </c>
      <c r="I16" s="53">
        <v>10573</v>
      </c>
      <c r="J16" s="53">
        <v>10974</v>
      </c>
      <c r="K16" s="14" t="s">
        <v>242</v>
      </c>
      <c r="L16" s="14" t="s">
        <v>242</v>
      </c>
      <c r="M16" s="14" t="s">
        <v>242</v>
      </c>
      <c r="N16" s="14" t="s">
        <v>242</v>
      </c>
      <c r="O16" s="14" t="s">
        <v>242</v>
      </c>
      <c r="P16" s="14" t="s">
        <v>242</v>
      </c>
      <c r="Q16" s="14" t="s">
        <v>242</v>
      </c>
      <c r="R16" s="9">
        <v>12391</v>
      </c>
      <c r="S16" s="9">
        <v>12594</v>
      </c>
      <c r="T16" s="9">
        <v>12763</v>
      </c>
      <c r="U16" s="9">
        <v>12271</v>
      </c>
      <c r="V16" s="9">
        <v>12971</v>
      </c>
    </row>
    <row r="17" spans="1:22" ht="12.75">
      <c r="A17" s="18" t="s">
        <v>293</v>
      </c>
      <c r="B17" s="14" t="s">
        <v>242</v>
      </c>
      <c r="C17" s="53">
        <v>15297</v>
      </c>
      <c r="D17" s="53">
        <v>12981</v>
      </c>
      <c r="E17" s="53">
        <v>13664</v>
      </c>
      <c r="F17" s="53">
        <v>13995</v>
      </c>
      <c r="G17" s="53">
        <v>15120</v>
      </c>
      <c r="H17" s="53">
        <v>15266</v>
      </c>
      <c r="I17" s="53">
        <v>15750</v>
      </c>
      <c r="J17" s="53">
        <v>16462</v>
      </c>
      <c r="K17" s="14" t="s">
        <v>242</v>
      </c>
      <c r="L17" s="14" t="s">
        <v>242</v>
      </c>
      <c r="M17" s="14" t="s">
        <v>242</v>
      </c>
      <c r="N17" s="14" t="s">
        <v>242</v>
      </c>
      <c r="O17" s="14" t="s">
        <v>242</v>
      </c>
      <c r="P17" s="14" t="s">
        <v>242</v>
      </c>
      <c r="Q17" s="14" t="s">
        <v>242</v>
      </c>
      <c r="R17" s="9">
        <v>22083</v>
      </c>
      <c r="S17" s="9">
        <v>22993</v>
      </c>
      <c r="T17" s="9">
        <v>23547</v>
      </c>
      <c r="U17" s="9">
        <v>22732</v>
      </c>
      <c r="V17" s="9">
        <v>24511</v>
      </c>
    </row>
    <row r="18" spans="1:22" ht="12.75">
      <c r="A18" s="18" t="s">
        <v>319</v>
      </c>
      <c r="B18" s="14" t="s">
        <v>242</v>
      </c>
      <c r="C18" s="53">
        <v>2583</v>
      </c>
      <c r="D18" s="53">
        <v>1983</v>
      </c>
      <c r="E18" s="53">
        <v>2097</v>
      </c>
      <c r="F18" s="53">
        <v>2163</v>
      </c>
      <c r="G18" s="53">
        <v>2344</v>
      </c>
      <c r="H18" s="53">
        <v>2406</v>
      </c>
      <c r="I18" s="53">
        <v>2543</v>
      </c>
      <c r="J18" s="53">
        <v>2745</v>
      </c>
      <c r="K18" s="14" t="s">
        <v>242</v>
      </c>
      <c r="L18" s="14" t="s">
        <v>242</v>
      </c>
      <c r="M18" s="14" t="s">
        <v>242</v>
      </c>
      <c r="N18" s="14" t="s">
        <v>242</v>
      </c>
      <c r="O18" s="14" t="s">
        <v>242</v>
      </c>
      <c r="P18" s="14" t="s">
        <v>242</v>
      </c>
      <c r="Q18" s="14" t="s">
        <v>242</v>
      </c>
      <c r="R18" s="9">
        <v>4142</v>
      </c>
      <c r="S18" s="9">
        <v>4488</v>
      </c>
      <c r="T18" s="9">
        <v>4902</v>
      </c>
      <c r="U18" s="9">
        <v>4807</v>
      </c>
      <c r="V18" s="9">
        <v>5144</v>
      </c>
    </row>
    <row r="19" spans="1:22" ht="12.75">
      <c r="A19" s="18" t="s">
        <v>294</v>
      </c>
      <c r="B19" s="14" t="s">
        <v>242</v>
      </c>
      <c r="C19" s="53">
        <v>944</v>
      </c>
      <c r="D19" s="53">
        <v>616</v>
      </c>
      <c r="E19" s="53">
        <v>676</v>
      </c>
      <c r="F19" s="53">
        <v>697</v>
      </c>
      <c r="G19" s="53">
        <v>732</v>
      </c>
      <c r="H19" s="53">
        <v>702</v>
      </c>
      <c r="I19" s="53">
        <v>1058</v>
      </c>
      <c r="J19" s="53">
        <v>894</v>
      </c>
      <c r="K19" s="14" t="s">
        <v>242</v>
      </c>
      <c r="L19" s="14" t="s">
        <v>242</v>
      </c>
      <c r="M19" s="14" t="s">
        <v>242</v>
      </c>
      <c r="N19" s="14" t="s">
        <v>242</v>
      </c>
      <c r="O19" s="14" t="s">
        <v>242</v>
      </c>
      <c r="P19" s="14" t="s">
        <v>242</v>
      </c>
      <c r="Q19" s="14" t="s">
        <v>242</v>
      </c>
      <c r="R19" s="9">
        <v>1264</v>
      </c>
      <c r="S19" s="9">
        <v>1261</v>
      </c>
      <c r="T19" s="9">
        <v>1335</v>
      </c>
      <c r="U19" s="9">
        <v>1304</v>
      </c>
      <c r="V19" s="9">
        <v>1445</v>
      </c>
    </row>
    <row r="20" spans="1:22" ht="12.75">
      <c r="A20" s="18" t="s">
        <v>286</v>
      </c>
      <c r="B20" s="14" t="s">
        <v>242</v>
      </c>
      <c r="C20" s="53"/>
      <c r="D20" s="53">
        <v>1597</v>
      </c>
      <c r="E20" s="53">
        <v>1324</v>
      </c>
      <c r="F20" s="53">
        <v>1343</v>
      </c>
      <c r="G20" s="53">
        <v>1315</v>
      </c>
      <c r="H20" s="53">
        <v>1261</v>
      </c>
      <c r="I20" s="53">
        <v>1487</v>
      </c>
      <c r="J20" s="53">
        <v>1476</v>
      </c>
      <c r="K20" s="14" t="s">
        <v>242</v>
      </c>
      <c r="L20" s="14" t="s">
        <v>242</v>
      </c>
      <c r="M20" s="14" t="s">
        <v>242</v>
      </c>
      <c r="N20" s="14" t="s">
        <v>242</v>
      </c>
      <c r="O20" s="14" t="s">
        <v>242</v>
      </c>
      <c r="P20" s="14" t="s">
        <v>242</v>
      </c>
      <c r="Q20" s="14" t="s">
        <v>242</v>
      </c>
      <c r="R20" s="9">
        <v>1903</v>
      </c>
      <c r="S20" s="9">
        <v>1745</v>
      </c>
      <c r="T20" s="9">
        <v>1904</v>
      </c>
      <c r="U20" s="9">
        <v>2040</v>
      </c>
      <c r="V20" s="9">
        <v>2426</v>
      </c>
    </row>
    <row r="21" spans="1:22" ht="12.75">
      <c r="A21" s="18" t="s">
        <v>287</v>
      </c>
      <c r="B21" s="14" t="s">
        <v>242</v>
      </c>
      <c r="C21" s="53">
        <v>2129</v>
      </c>
      <c r="D21" s="53">
        <v>5099</v>
      </c>
      <c r="E21" s="53">
        <v>5634</v>
      </c>
      <c r="F21" s="53">
        <v>5998</v>
      </c>
      <c r="G21" s="53">
        <v>6098</v>
      </c>
      <c r="H21" s="53">
        <v>6316</v>
      </c>
      <c r="I21" s="53">
        <v>6461</v>
      </c>
      <c r="J21" s="53">
        <v>6772</v>
      </c>
      <c r="K21" s="14" t="s">
        <v>242</v>
      </c>
      <c r="L21" s="14" t="s">
        <v>242</v>
      </c>
      <c r="M21" s="14" t="s">
        <v>242</v>
      </c>
      <c r="N21" s="14" t="s">
        <v>242</v>
      </c>
      <c r="O21" s="14" t="s">
        <v>242</v>
      </c>
      <c r="P21" s="14" t="s">
        <v>242</v>
      </c>
      <c r="Q21" s="14" t="s">
        <v>242</v>
      </c>
      <c r="R21" s="9">
        <v>5907</v>
      </c>
      <c r="S21" s="9">
        <v>5848</v>
      </c>
      <c r="T21" s="9">
        <v>5834</v>
      </c>
      <c r="U21" s="9">
        <v>5702</v>
      </c>
      <c r="V21" s="9">
        <v>6270</v>
      </c>
    </row>
    <row r="22" spans="1:22" ht="12.75">
      <c r="A22" s="18" t="s">
        <v>86</v>
      </c>
      <c r="B22" s="14" t="s">
        <v>242</v>
      </c>
      <c r="C22" s="14">
        <v>7.5891398366170115</v>
      </c>
      <c r="D22" s="14">
        <v>6.870746337524513</v>
      </c>
      <c r="E22" s="14">
        <v>7.218221307727481</v>
      </c>
      <c r="F22" s="14">
        <v>7.1413142337426105</v>
      </c>
      <c r="G22" s="14">
        <v>7.941006082842522</v>
      </c>
      <c r="H22" s="14">
        <v>7.922056305877877</v>
      </c>
      <c r="I22" s="14">
        <v>8.24529461836754</v>
      </c>
      <c r="J22" s="14">
        <v>8.257016584654638</v>
      </c>
      <c r="K22" s="14" t="s">
        <v>242</v>
      </c>
      <c r="L22" s="14" t="s">
        <v>242</v>
      </c>
      <c r="M22" s="14" t="s">
        <v>242</v>
      </c>
      <c r="N22" s="14" t="s">
        <v>242</v>
      </c>
      <c r="O22" s="14" t="s">
        <v>242</v>
      </c>
      <c r="P22" s="14" t="s">
        <v>242</v>
      </c>
      <c r="Q22" s="14" t="s">
        <v>242</v>
      </c>
      <c r="R22" s="9">
        <v>10</v>
      </c>
      <c r="S22" s="9">
        <v>10</v>
      </c>
      <c r="T22" s="9">
        <v>10</v>
      </c>
      <c r="U22" s="9">
        <v>11</v>
      </c>
      <c r="V22" s="9">
        <v>11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N28" sqref="N28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t="s">
        <v>279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t="s">
        <v>280</v>
      </c>
      <c r="B3" s="9" t="s">
        <v>242</v>
      </c>
      <c r="C3" s="59">
        <v>0.38899339603762256</v>
      </c>
      <c r="D3" s="59">
        <v>0.3164292730844794</v>
      </c>
      <c r="E3" s="59">
        <v>0.3164910728647258</v>
      </c>
      <c r="F3" s="59">
        <v>0.31737868427717064</v>
      </c>
      <c r="G3" s="59">
        <v>0.3090493117531387</v>
      </c>
      <c r="H3" s="59">
        <v>0.3120034316833899</v>
      </c>
      <c r="I3" s="59">
        <v>0.30885888662844463</v>
      </c>
      <c r="J3" s="59">
        <v>0.3052282571881852</v>
      </c>
      <c r="K3" s="9" t="s">
        <v>242</v>
      </c>
      <c r="L3" s="9" t="s">
        <v>242</v>
      </c>
      <c r="M3" s="9" t="s">
        <v>242</v>
      </c>
      <c r="N3" s="9" t="s">
        <v>242</v>
      </c>
      <c r="O3" s="9" t="s">
        <v>242</v>
      </c>
      <c r="P3" s="9" t="s">
        <v>242</v>
      </c>
      <c r="Q3" s="9" t="s">
        <v>242</v>
      </c>
      <c r="R3" s="59">
        <v>0.3142510287417031</v>
      </c>
      <c r="S3" s="59">
        <v>0.3104662890837148</v>
      </c>
      <c r="T3" s="59">
        <v>0.3107384184574177</v>
      </c>
      <c r="U3" s="59">
        <v>0.30199412192270014</v>
      </c>
      <c r="V3" s="59">
        <v>0.2936121582712458</v>
      </c>
    </row>
    <row r="4" spans="1:22" ht="12.75">
      <c r="A4" t="s">
        <v>281</v>
      </c>
      <c r="B4" s="9" t="s">
        <v>242</v>
      </c>
      <c r="C4" s="59">
        <v>0.3020412247348409</v>
      </c>
      <c r="D4" s="59">
        <v>0.3032293713163065</v>
      </c>
      <c r="E4" s="59">
        <v>0.3109417725591121</v>
      </c>
      <c r="F4" s="59">
        <v>0.3111059162721836</v>
      </c>
      <c r="G4" s="59">
        <v>0.3162721222205415</v>
      </c>
      <c r="H4" s="59">
        <v>0.31314110932895667</v>
      </c>
      <c r="I4" s="59">
        <v>0.3097651192898095</v>
      </c>
      <c r="J4" s="59">
        <v>0.3165118807821886</v>
      </c>
      <c r="K4" s="9" t="s">
        <v>242</v>
      </c>
      <c r="L4" s="9" t="s">
        <v>242</v>
      </c>
      <c r="M4" s="9" t="s">
        <v>242</v>
      </c>
      <c r="N4" s="9" t="s">
        <v>242</v>
      </c>
      <c r="O4" s="9" t="s">
        <v>242</v>
      </c>
      <c r="P4" s="9" t="s">
        <v>242</v>
      </c>
      <c r="Q4" s="9" t="s">
        <v>242</v>
      </c>
      <c r="R4" s="59">
        <v>0.32560266132719506</v>
      </c>
      <c r="S4" s="59">
        <v>0.32578167429591126</v>
      </c>
      <c r="T4" s="59">
        <v>0.32633773665307114</v>
      </c>
      <c r="U4" s="59">
        <v>0.3247321682520621</v>
      </c>
      <c r="V4" s="59">
        <v>0.32187064026833684</v>
      </c>
    </row>
    <row r="5" spans="1:22" ht="12.75">
      <c r="A5" t="s">
        <v>282</v>
      </c>
      <c r="B5" s="9" t="s">
        <v>242</v>
      </c>
      <c r="C5" s="59">
        <v>0.15701420852511508</v>
      </c>
      <c r="D5" s="59">
        <v>0.14532170923379176</v>
      </c>
      <c r="E5" s="59">
        <v>0.13891346308508928</v>
      </c>
      <c r="F5" s="59">
        <v>0.13548789277852455</v>
      </c>
      <c r="G5" s="59">
        <v>0.13876493722583572</v>
      </c>
      <c r="H5" s="59">
        <v>0.13764034466037525</v>
      </c>
      <c r="I5" s="59">
        <v>0.13225448492694655</v>
      </c>
      <c r="J5" s="59">
        <v>0.13499349364516303</v>
      </c>
      <c r="K5" s="9" t="s">
        <v>242</v>
      </c>
      <c r="L5" s="9" t="s">
        <v>242</v>
      </c>
      <c r="M5" s="9" t="s">
        <v>242</v>
      </c>
      <c r="N5" s="9" t="s">
        <v>242</v>
      </c>
      <c r="O5" s="9" t="s">
        <v>242</v>
      </c>
      <c r="P5" s="9" t="s">
        <v>242</v>
      </c>
      <c r="Q5" s="9" t="s">
        <v>242</v>
      </c>
      <c r="R5" s="59">
        <v>0.13626688949501</v>
      </c>
      <c r="S5" s="59">
        <v>0.14319186903561176</v>
      </c>
      <c r="T5" s="59">
        <v>0.14033298837280087</v>
      </c>
      <c r="U5" s="59">
        <v>0.14458174003729102</v>
      </c>
      <c r="V5" s="59">
        <v>0.14760010685980587</v>
      </c>
    </row>
    <row r="6" spans="1:22" ht="12.75">
      <c r="A6" t="s">
        <v>283</v>
      </c>
      <c r="B6" s="9" t="s">
        <v>242</v>
      </c>
      <c r="C6" s="59">
        <v>0.05817490494296578</v>
      </c>
      <c r="D6" s="59">
        <v>0.05142845448592011</v>
      </c>
      <c r="E6" s="59">
        <v>0.04869712079781245</v>
      </c>
      <c r="F6" s="59">
        <v>0.048740576237508035</v>
      </c>
      <c r="G6" s="59">
        <v>0.04866888519134775</v>
      </c>
      <c r="H6" s="59">
        <v>0.04919989555746205</v>
      </c>
      <c r="I6" s="59">
        <v>0.05085999630109118</v>
      </c>
      <c r="J6" s="59">
        <v>0.049590901798606035</v>
      </c>
      <c r="K6" s="9" t="s">
        <v>242</v>
      </c>
      <c r="L6" s="9" t="s">
        <v>242</v>
      </c>
      <c r="M6" s="9" t="s">
        <v>242</v>
      </c>
      <c r="N6" s="9" t="s">
        <v>242</v>
      </c>
      <c r="O6" s="9" t="s">
        <v>242</v>
      </c>
      <c r="P6" s="9" t="s">
        <v>242</v>
      </c>
      <c r="Q6" s="9" t="s">
        <v>242</v>
      </c>
      <c r="R6" s="59">
        <v>0.05497658725779242</v>
      </c>
      <c r="S6" s="59">
        <v>0.057133990224222206</v>
      </c>
      <c r="T6" s="59">
        <v>0.05801424484081086</v>
      </c>
      <c r="U6" s="59">
        <v>0.061071959043074296</v>
      </c>
      <c r="V6" s="59">
        <v>0.06056873163347087</v>
      </c>
    </row>
    <row r="7" spans="1:22" ht="12.75">
      <c r="A7" t="s">
        <v>284</v>
      </c>
      <c r="B7" s="9" t="s">
        <v>242</v>
      </c>
      <c r="C7" s="59">
        <v>0.03900340204122473</v>
      </c>
      <c r="D7" s="59">
        <v>0.035997871643745905</v>
      </c>
      <c r="E7" s="59">
        <v>0.034602702267974905</v>
      </c>
      <c r="F7" s="59">
        <v>0.032727485243410674</v>
      </c>
      <c r="G7" s="59">
        <v>0.03620859174103767</v>
      </c>
      <c r="H7" s="59">
        <v>0.035641016076690665</v>
      </c>
      <c r="I7" s="59">
        <v>0.034233401146661735</v>
      </c>
      <c r="J7" s="59">
        <v>0.034884757304051765</v>
      </c>
      <c r="K7" s="9" t="s">
        <v>242</v>
      </c>
      <c r="L7" s="9" t="s">
        <v>242</v>
      </c>
      <c r="M7" s="9" t="s">
        <v>242</v>
      </c>
      <c r="N7" s="9" t="s">
        <v>242</v>
      </c>
      <c r="O7" s="9" t="s">
        <v>242</v>
      </c>
      <c r="P7" s="9" t="s">
        <v>242</v>
      </c>
      <c r="Q7" s="9" t="s">
        <v>242</v>
      </c>
      <c r="R7" s="59">
        <v>0.03235215286865215</v>
      </c>
      <c r="S7" s="59">
        <v>0.033361781363953756</v>
      </c>
      <c r="T7" s="59">
        <v>0.03457722042978024</v>
      </c>
      <c r="U7" s="59">
        <v>0.033293303416237395</v>
      </c>
      <c r="V7" s="59">
        <v>0.03459586215085043</v>
      </c>
    </row>
    <row r="8" spans="1:22" ht="12.75">
      <c r="A8" t="s">
        <v>285</v>
      </c>
      <c r="B8" s="9" t="s">
        <v>242</v>
      </c>
      <c r="C8" s="59">
        <v>0.012167300380228136</v>
      </c>
      <c r="D8" s="59">
        <v>0.01055992141453831</v>
      </c>
      <c r="E8" s="59">
        <v>0.010455203474344539</v>
      </c>
      <c r="F8" s="59">
        <v>0.011532542419106617</v>
      </c>
      <c r="G8" s="59">
        <v>0.010909847224323099</v>
      </c>
      <c r="H8" s="59">
        <v>0.011059718751165654</v>
      </c>
      <c r="I8" s="59">
        <v>0.01707046421305715</v>
      </c>
      <c r="J8" s="59">
        <v>0.011782741225333786</v>
      </c>
      <c r="K8" s="9" t="s">
        <v>242</v>
      </c>
      <c r="L8" s="9" t="s">
        <v>242</v>
      </c>
      <c r="M8" s="9" t="s">
        <v>242</v>
      </c>
      <c r="N8" s="9" t="s">
        <v>242</v>
      </c>
      <c r="O8" s="9" t="s">
        <v>242</v>
      </c>
      <c r="P8" s="9" t="s">
        <v>242</v>
      </c>
      <c r="Q8" s="9" t="s">
        <v>242</v>
      </c>
      <c r="R8" s="59">
        <v>0.013416999069796775</v>
      </c>
      <c r="S8" s="59">
        <v>0.012242997905190473</v>
      </c>
      <c r="T8" s="59">
        <v>0.012235953004200401</v>
      </c>
      <c r="U8" s="59">
        <v>0.011993173845716272</v>
      </c>
      <c r="V8" s="59">
        <v>0.01268960194722313</v>
      </c>
    </row>
    <row r="9" spans="1:22" ht="12.75">
      <c r="A9" t="s">
        <v>286</v>
      </c>
      <c r="B9" s="9" t="s">
        <v>242</v>
      </c>
      <c r="C9" s="59">
        <v>0</v>
      </c>
      <c r="D9" s="59">
        <v>0.03268254747871644</v>
      </c>
      <c r="E9" s="59">
        <v>0.026620556538523403</v>
      </c>
      <c r="F9" s="59">
        <v>0.026162507548750318</v>
      </c>
      <c r="G9" s="59">
        <v>0.02486386325820602</v>
      </c>
      <c r="H9" s="59">
        <v>0.023518221492782276</v>
      </c>
      <c r="I9" s="59">
        <v>0.02750138709080821</v>
      </c>
      <c r="J9" s="59">
        <v>0.02631062942298437</v>
      </c>
      <c r="K9" s="9" t="s">
        <v>242</v>
      </c>
      <c r="L9" s="9" t="s">
        <v>242</v>
      </c>
      <c r="M9" s="9" t="s">
        <v>242</v>
      </c>
      <c r="N9" s="9" t="s">
        <v>242</v>
      </c>
      <c r="O9" s="9" t="s">
        <v>242</v>
      </c>
      <c r="P9" s="9" t="s">
        <v>242</v>
      </c>
      <c r="Q9" s="9" t="s">
        <v>242</v>
      </c>
      <c r="R9" s="59">
        <v>0.03000299556971006</v>
      </c>
      <c r="S9" s="59">
        <v>0.02707735278144154</v>
      </c>
      <c r="T9" s="59">
        <v>0.02897668472636513</v>
      </c>
      <c r="U9" s="59">
        <v>0.03223461745093702</v>
      </c>
      <c r="V9" s="59">
        <v>0.036005817922764104</v>
      </c>
    </row>
    <row r="10" spans="1:22" ht="12.75">
      <c r="A10" t="s">
        <v>287</v>
      </c>
      <c r="B10" s="9" t="s">
        <v>242</v>
      </c>
      <c r="C10" s="59">
        <v>0.0426055633380028</v>
      </c>
      <c r="D10" s="59">
        <v>0.10435085134250163</v>
      </c>
      <c r="E10" s="59">
        <v>0.11327810841241756</v>
      </c>
      <c r="F10" s="59">
        <v>0.11684491457736738</v>
      </c>
      <c r="G10" s="59">
        <v>0.11530025714717894</v>
      </c>
      <c r="H10" s="59">
        <v>0.11779626244917751</v>
      </c>
      <c r="I10" s="59">
        <v>0.11949324949140004</v>
      </c>
      <c r="J10" s="59">
        <v>0.12071516426317759</v>
      </c>
      <c r="K10" s="9" t="s">
        <v>242</v>
      </c>
      <c r="L10" s="9" t="s">
        <v>242</v>
      </c>
      <c r="M10" s="9" t="s">
        <v>242</v>
      </c>
      <c r="N10" s="9" t="s">
        <v>242</v>
      </c>
      <c r="O10" s="9" t="s">
        <v>242</v>
      </c>
      <c r="P10" s="9" t="s">
        <v>242</v>
      </c>
      <c r="Q10" s="9" t="s">
        <v>242</v>
      </c>
      <c r="R10" s="59">
        <v>0.09313068567014048</v>
      </c>
      <c r="S10" s="59">
        <v>0.09074404530995422</v>
      </c>
      <c r="T10" s="59">
        <v>0.08878675351555367</v>
      </c>
      <c r="U10" s="59">
        <v>0.0900989160319818</v>
      </c>
      <c r="V10" s="59">
        <v>0.09305708094630295</v>
      </c>
    </row>
    <row r="12" spans="1:22" ht="12.75">
      <c r="A12" t="s">
        <v>289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2.75">
      <c r="A13" t="s">
        <v>290</v>
      </c>
      <c r="B13" s="9" t="s">
        <v>242</v>
      </c>
      <c r="C13" s="59">
        <v>0.13575587231479622</v>
      </c>
      <c r="D13" s="59">
        <v>0.09207365892714171</v>
      </c>
      <c r="E13" s="59">
        <v>0.08370826187834157</v>
      </c>
      <c r="F13" s="59">
        <v>0.08456270788495403</v>
      </c>
      <c r="G13" s="59">
        <v>0.08466932910400703</v>
      </c>
      <c r="H13" s="59">
        <v>0.08246800972429</v>
      </c>
      <c r="I13" s="59">
        <v>0.07889772517107453</v>
      </c>
      <c r="J13" s="59">
        <v>0.08064314871922851</v>
      </c>
      <c r="K13" s="9" t="s">
        <v>242</v>
      </c>
      <c r="L13" s="9" t="s">
        <v>242</v>
      </c>
      <c r="M13" s="9" t="s">
        <v>242</v>
      </c>
      <c r="N13" s="9" t="s">
        <v>242</v>
      </c>
      <c r="O13" s="9" t="s">
        <v>242</v>
      </c>
      <c r="P13" s="9" t="s">
        <v>242</v>
      </c>
      <c r="Q13" s="9" t="s">
        <v>242</v>
      </c>
      <c r="R13" s="59">
        <v>0.04384568086146278</v>
      </c>
      <c r="S13" s="59">
        <v>0.04136860889130266</v>
      </c>
      <c r="T13" s="59">
        <v>0.0433432763133865</v>
      </c>
      <c r="U13" s="59">
        <v>0.039977246152387576</v>
      </c>
      <c r="V13" s="59">
        <v>0.03787586452551278</v>
      </c>
    </row>
    <row r="14" spans="1:22" ht="12.75">
      <c r="A14" t="s">
        <v>291</v>
      </c>
      <c r="B14" s="9" t="s">
        <v>242</v>
      </c>
      <c r="C14" s="59">
        <v>0.23471190523991167</v>
      </c>
      <c r="D14" s="59">
        <v>0.2725667713658106</v>
      </c>
      <c r="E14" s="59">
        <v>0.26780994653485324</v>
      </c>
      <c r="F14" s="59">
        <v>0.2699080414791626</v>
      </c>
      <c r="G14" s="59">
        <v>0.22811610265033536</v>
      </c>
      <c r="H14" s="59">
        <v>0.23034883063528258</v>
      </c>
      <c r="I14" s="59">
        <v>0.22069539485851675</v>
      </c>
      <c r="J14" s="59">
        <v>0.2184352662257794</v>
      </c>
      <c r="K14" s="9" t="s">
        <v>242</v>
      </c>
      <c r="L14" s="9" t="s">
        <v>242</v>
      </c>
      <c r="M14" s="9" t="s">
        <v>242</v>
      </c>
      <c r="N14" s="9" t="s">
        <v>242</v>
      </c>
      <c r="O14" s="9" t="s">
        <v>242</v>
      </c>
      <c r="P14" s="9" t="s">
        <v>242</v>
      </c>
      <c r="Q14" s="9" t="s">
        <v>242</v>
      </c>
      <c r="R14" s="59">
        <v>0.204250555757012</v>
      </c>
      <c r="S14" s="59">
        <v>0.19937931569555434</v>
      </c>
      <c r="T14" s="59">
        <v>0.1913922201254033</v>
      </c>
      <c r="U14" s="59">
        <v>0.1880194671807351</v>
      </c>
      <c r="V14" s="59">
        <v>0.1789901748345157</v>
      </c>
    </row>
    <row r="15" spans="1:22" ht="12.75">
      <c r="A15" t="s">
        <v>292</v>
      </c>
      <c r="B15" s="9" t="s">
        <v>242</v>
      </c>
      <c r="C15" s="59">
        <v>0.2088937964264204</v>
      </c>
      <c r="D15" s="59">
        <v>0.17796801543799143</v>
      </c>
      <c r="E15" s="59">
        <v>0.17649551094522345</v>
      </c>
      <c r="F15" s="59">
        <v>0.17209939346507533</v>
      </c>
      <c r="G15" s="59">
        <v>0.19790571914470792</v>
      </c>
      <c r="H15" s="59">
        <v>0.19814183140794905</v>
      </c>
      <c r="I15" s="59">
        <v>0.19554281486961347</v>
      </c>
      <c r="J15" s="59">
        <v>0.19561846022210735</v>
      </c>
      <c r="K15" s="9" t="s">
        <v>242</v>
      </c>
      <c r="L15" s="9" t="s">
        <v>242</v>
      </c>
      <c r="M15" s="9" t="s">
        <v>242</v>
      </c>
      <c r="N15" s="9" t="s">
        <v>242</v>
      </c>
      <c r="O15" s="9" t="s">
        <v>242</v>
      </c>
      <c r="P15" s="9" t="s">
        <v>242</v>
      </c>
      <c r="Q15" s="9" t="s">
        <v>242</v>
      </c>
      <c r="R15" s="59">
        <v>0.19535844356504328</v>
      </c>
      <c r="S15" s="59">
        <v>0.19542245325471333</v>
      </c>
      <c r="T15" s="59">
        <v>0.1942381445181713</v>
      </c>
      <c r="U15" s="59">
        <v>0.19389754448061183</v>
      </c>
      <c r="V15" s="59">
        <v>0.1925109086051827</v>
      </c>
    </row>
    <row r="16" spans="1:22" ht="12.75">
      <c r="A16" t="s">
        <v>293</v>
      </c>
      <c r="B16" s="9" t="s">
        <v>242</v>
      </c>
      <c r="C16" s="59">
        <v>0.30710700662517565</v>
      </c>
      <c r="D16" s="59">
        <v>0.26649011516905835</v>
      </c>
      <c r="E16" s="59">
        <v>0.27567840209825484</v>
      </c>
      <c r="F16" s="59">
        <v>0.2738211700254353</v>
      </c>
      <c r="G16" s="59">
        <v>0.28891903770087707</v>
      </c>
      <c r="H16" s="59">
        <v>0.28769575787271734</v>
      </c>
      <c r="I16" s="59">
        <v>0.2912890697244313</v>
      </c>
      <c r="J16" s="59">
        <v>0.2934455159628514</v>
      </c>
      <c r="K16" s="9" t="s">
        <v>242</v>
      </c>
      <c r="L16" s="9" t="s">
        <v>242</v>
      </c>
      <c r="M16" s="9" t="s">
        <v>242</v>
      </c>
      <c r="N16" s="9" t="s">
        <v>242</v>
      </c>
      <c r="O16" s="9" t="s">
        <v>242</v>
      </c>
      <c r="P16" s="9" t="s">
        <v>242</v>
      </c>
      <c r="Q16" s="9" t="s">
        <v>242</v>
      </c>
      <c r="R16" s="59">
        <v>0.34816403109086036</v>
      </c>
      <c r="S16" s="59">
        <v>0.35678485530297155</v>
      </c>
      <c r="T16" s="59">
        <v>0.35835819078346626</v>
      </c>
      <c r="U16" s="59">
        <v>0.3591947666150491</v>
      </c>
      <c r="V16" s="59">
        <v>0.36378343079343406</v>
      </c>
    </row>
    <row r="17" spans="1:22" ht="12.75">
      <c r="A17" t="s">
        <v>319</v>
      </c>
      <c r="B17" s="9" t="s">
        <v>242</v>
      </c>
      <c r="C17" s="59">
        <v>0.05185705681590042</v>
      </c>
      <c r="D17" s="59">
        <v>0.04070949066945864</v>
      </c>
      <c r="E17" s="59">
        <v>0.042308080298597804</v>
      </c>
      <c r="F17" s="59">
        <v>0.042320485227939734</v>
      </c>
      <c r="G17" s="59">
        <v>0.044790094204421683</v>
      </c>
      <c r="H17" s="59">
        <v>0.04534232892976273</v>
      </c>
      <c r="I17" s="59">
        <v>0.04703162567042722</v>
      </c>
      <c r="J17" s="59">
        <v>0.04893135350006239</v>
      </c>
      <c r="K17" s="9" t="s">
        <v>242</v>
      </c>
      <c r="L17" s="9" t="s">
        <v>242</v>
      </c>
      <c r="M17" s="9" t="s">
        <v>242</v>
      </c>
      <c r="N17" s="9" t="s">
        <v>242</v>
      </c>
      <c r="O17" s="9" t="s">
        <v>242</v>
      </c>
      <c r="P17" s="9" t="s">
        <v>242</v>
      </c>
      <c r="Q17" s="9" t="s">
        <v>242</v>
      </c>
      <c r="R17" s="59">
        <v>0.06530341967931638</v>
      </c>
      <c r="S17" s="59">
        <v>0.06964077895880208</v>
      </c>
      <c r="T17" s="59">
        <v>0.0746027880927741</v>
      </c>
      <c r="U17" s="59">
        <v>0.0759567676895364</v>
      </c>
      <c r="V17" s="59">
        <v>0.07634539463919975</v>
      </c>
    </row>
    <row r="18" spans="1:22" ht="12.75">
      <c r="A18" t="s">
        <v>294</v>
      </c>
      <c r="B18" s="9" t="s">
        <v>242</v>
      </c>
      <c r="C18" s="59">
        <v>0.018952017667135113</v>
      </c>
      <c r="D18" s="59">
        <v>0.012646014247295272</v>
      </c>
      <c r="E18" s="59">
        <v>0.013638656309896096</v>
      </c>
      <c r="F18" s="59">
        <v>0.013637252983760517</v>
      </c>
      <c r="G18" s="59">
        <v>0.013987350237899604</v>
      </c>
      <c r="H18" s="59">
        <v>0.013229557318658953</v>
      </c>
      <c r="I18" s="59">
        <v>0.01956722766783799</v>
      </c>
      <c r="J18" s="59">
        <v>0.01593611294318972</v>
      </c>
      <c r="K18" s="9" t="s">
        <v>242</v>
      </c>
      <c r="L18" s="9" t="s">
        <v>242</v>
      </c>
      <c r="M18" s="9" t="s">
        <v>242</v>
      </c>
      <c r="N18" s="9" t="s">
        <v>242</v>
      </c>
      <c r="O18" s="9" t="s">
        <v>242</v>
      </c>
      <c r="P18" s="9" t="s">
        <v>242</v>
      </c>
      <c r="Q18" s="9" t="s">
        <v>242</v>
      </c>
      <c r="R18" s="59">
        <v>0.019928421650085924</v>
      </c>
      <c r="S18" s="59">
        <v>0.01956707269764916</v>
      </c>
      <c r="T18" s="59">
        <v>0.02031716077189992</v>
      </c>
      <c r="U18" s="59">
        <v>0.020604873115696993</v>
      </c>
      <c r="V18" s="59">
        <v>0.021446169372792305</v>
      </c>
    </row>
    <row r="19" spans="1:22" ht="12.75">
      <c r="A19" t="s">
        <v>286</v>
      </c>
      <c r="B19" s="9" t="s">
        <v>242</v>
      </c>
      <c r="C19" s="59">
        <v>0</v>
      </c>
      <c r="D19" s="59">
        <v>0.03278520252099115</v>
      </c>
      <c r="E19" s="59">
        <v>0.02671239786139413</v>
      </c>
      <c r="F19" s="59">
        <v>0.02627665818822148</v>
      </c>
      <c r="G19" s="59">
        <v>0.025127548583111996</v>
      </c>
      <c r="H19" s="59">
        <v>0.023764204813146637</v>
      </c>
      <c r="I19" s="59">
        <v>0.02750138709080821</v>
      </c>
      <c r="J19" s="59">
        <v>0.02631062942298437</v>
      </c>
      <c r="K19" s="9" t="s">
        <v>242</v>
      </c>
      <c r="L19" s="9" t="s">
        <v>242</v>
      </c>
      <c r="M19" s="9" t="s">
        <v>242</v>
      </c>
      <c r="N19" s="9" t="s">
        <v>242</v>
      </c>
      <c r="O19" s="9" t="s">
        <v>242</v>
      </c>
      <c r="P19" s="9" t="s">
        <v>242</v>
      </c>
      <c r="Q19" s="9" t="s">
        <v>242</v>
      </c>
      <c r="R19" s="59">
        <v>0.03000299556971006</v>
      </c>
      <c r="S19" s="59">
        <v>0.02707735278144154</v>
      </c>
      <c r="T19" s="59">
        <v>0.02897668472636513</v>
      </c>
      <c r="U19" s="59">
        <v>0.03223461745093702</v>
      </c>
      <c r="V19" s="59">
        <v>0.036005817922764104</v>
      </c>
    </row>
    <row r="20" spans="1:22" ht="12.75">
      <c r="A20" t="s">
        <v>287</v>
      </c>
      <c r="B20" s="9" t="s">
        <v>242</v>
      </c>
      <c r="C20" s="59">
        <v>0.04274242120056214</v>
      </c>
      <c r="D20" s="59">
        <v>0.1046786146866211</v>
      </c>
      <c r="E20" s="59">
        <v>0.11366891960052457</v>
      </c>
      <c r="F20" s="59">
        <v>0.11735472510271962</v>
      </c>
      <c r="G20" s="59">
        <v>0.11652303517856802</v>
      </c>
      <c r="H20" s="59">
        <v>0.11902832482143867</v>
      </c>
      <c r="I20" s="59">
        <v>0.11949324949140004</v>
      </c>
      <c r="J20" s="59">
        <v>0.12071516426317759</v>
      </c>
      <c r="K20" s="9" t="s">
        <v>242</v>
      </c>
      <c r="L20" s="9" t="s">
        <v>242</v>
      </c>
      <c r="M20" s="9" t="s">
        <v>242</v>
      </c>
      <c r="N20" s="9" t="s">
        <v>242</v>
      </c>
      <c r="O20" s="9" t="s">
        <v>242</v>
      </c>
      <c r="P20" s="9" t="s">
        <v>242</v>
      </c>
      <c r="Q20" s="9" t="s">
        <v>242</v>
      </c>
      <c r="R20" s="59">
        <v>0.09313068567014048</v>
      </c>
      <c r="S20" s="59">
        <v>0.09074404530995422</v>
      </c>
      <c r="T20" s="59">
        <v>0.08878675351555367</v>
      </c>
      <c r="U20" s="59">
        <v>0.0900989160319818</v>
      </c>
      <c r="V20" s="59">
        <v>0.09305708094630295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A11" sqref="A11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spans="1:22" ht="12.75">
      <c r="A3" t="s">
        <v>275</v>
      </c>
      <c r="B3" s="9">
        <v>8544</v>
      </c>
      <c r="C3" s="9">
        <v>10308</v>
      </c>
      <c r="D3" s="9">
        <v>10413</v>
      </c>
      <c r="E3" s="9">
        <v>11343</v>
      </c>
      <c r="F3" s="9">
        <v>9930</v>
      </c>
      <c r="G3" s="14" t="s">
        <v>242</v>
      </c>
      <c r="H3" s="9">
        <v>9249</v>
      </c>
      <c r="I3" s="14" t="s">
        <v>242</v>
      </c>
      <c r="J3" s="9">
        <v>8794</v>
      </c>
      <c r="K3" s="9">
        <v>8738</v>
      </c>
      <c r="L3" s="9">
        <v>24882</v>
      </c>
      <c r="M3" s="9">
        <v>7187</v>
      </c>
      <c r="N3" s="9">
        <v>6205</v>
      </c>
      <c r="O3" s="9">
        <v>6364</v>
      </c>
      <c r="P3" s="9">
        <v>6445</v>
      </c>
      <c r="Q3" s="9">
        <v>6417</v>
      </c>
      <c r="R3" s="9">
        <v>9437</v>
      </c>
      <c r="S3" s="9">
        <v>9063</v>
      </c>
      <c r="T3" s="9">
        <v>9746</v>
      </c>
      <c r="U3" s="9">
        <v>9313</v>
      </c>
      <c r="V3" s="9">
        <v>9335</v>
      </c>
    </row>
    <row r="4" spans="2:22" ht="12.75">
      <c r="B4" s="9"/>
      <c r="C4" s="9"/>
      <c r="D4" s="9"/>
      <c r="E4" s="9"/>
      <c r="F4" s="9"/>
      <c r="G4" s="14"/>
      <c r="H4" s="9"/>
      <c r="I4" s="1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t="s">
        <v>277</v>
      </c>
      <c r="B5" s="9">
        <v>8040</v>
      </c>
      <c r="C5" s="9">
        <v>7240</v>
      </c>
      <c r="D5" s="9">
        <v>6412</v>
      </c>
      <c r="E5" s="9">
        <v>7000</v>
      </c>
      <c r="F5" s="9">
        <v>5011</v>
      </c>
      <c r="G5" s="14" t="s">
        <v>242</v>
      </c>
      <c r="H5" s="9">
        <v>4762</v>
      </c>
      <c r="I5" s="14" t="s">
        <v>242</v>
      </c>
      <c r="J5" s="9">
        <v>4270</v>
      </c>
      <c r="K5" s="9">
        <v>4674</v>
      </c>
      <c r="L5" s="14" t="s">
        <v>242</v>
      </c>
      <c r="M5" s="14" t="s">
        <v>242</v>
      </c>
      <c r="N5" s="14" t="s">
        <v>242</v>
      </c>
      <c r="O5" s="14" t="s">
        <v>242</v>
      </c>
      <c r="P5" s="14" t="s">
        <v>242</v>
      </c>
      <c r="Q5" s="14" t="s">
        <v>242</v>
      </c>
      <c r="R5" s="9">
        <v>6838</v>
      </c>
      <c r="S5" s="9">
        <v>6343</v>
      </c>
      <c r="T5" s="9">
        <v>6462</v>
      </c>
      <c r="U5" s="9">
        <v>5625</v>
      </c>
      <c r="V5" s="9">
        <v>5991</v>
      </c>
    </row>
    <row r="6" spans="2:22" ht="12.75">
      <c r="B6" s="9"/>
      <c r="C6" s="9"/>
      <c r="D6" s="9"/>
      <c r="E6" s="9"/>
      <c r="F6" s="9"/>
      <c r="G6" s="14"/>
      <c r="H6" s="9"/>
      <c r="I6" s="1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t="s">
        <v>278</v>
      </c>
      <c r="B7" s="9">
        <v>9148</v>
      </c>
      <c r="C7" s="9">
        <v>12115</v>
      </c>
      <c r="D7" s="9">
        <v>13330</v>
      </c>
      <c r="E7" s="9">
        <v>13152</v>
      </c>
      <c r="F7" s="9">
        <v>10690</v>
      </c>
      <c r="G7" s="14" t="s">
        <v>242</v>
      </c>
      <c r="H7" s="9">
        <v>10307</v>
      </c>
      <c r="I7" s="14" t="s">
        <v>242</v>
      </c>
      <c r="J7" s="9">
        <v>13019</v>
      </c>
      <c r="K7" s="9">
        <v>11573</v>
      </c>
      <c r="L7" s="9">
        <v>4046</v>
      </c>
      <c r="M7" s="9">
        <v>4218</v>
      </c>
      <c r="N7" s="9">
        <v>5843</v>
      </c>
      <c r="O7" s="9">
        <v>6701</v>
      </c>
      <c r="P7" s="9">
        <v>6828</v>
      </c>
      <c r="Q7" s="9">
        <v>6926</v>
      </c>
      <c r="R7" s="9">
        <v>10378</v>
      </c>
      <c r="S7" s="9">
        <v>8384</v>
      </c>
      <c r="T7" s="9">
        <v>9215</v>
      </c>
      <c r="U7" s="9">
        <v>9021</v>
      </c>
      <c r="V7" s="9">
        <v>9447</v>
      </c>
    </row>
    <row r="8" spans="2:22" ht="12.75">
      <c r="B8" s="9"/>
      <c r="C8" s="9"/>
      <c r="D8" s="9"/>
      <c r="E8" s="9"/>
      <c r="F8" s="9"/>
      <c r="G8" s="14"/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t="s">
        <v>276</v>
      </c>
      <c r="B9" s="9">
        <v>9782</v>
      </c>
      <c r="C9" s="9">
        <v>13741</v>
      </c>
      <c r="D9" s="9">
        <v>12378</v>
      </c>
      <c r="E9" s="9">
        <v>12960</v>
      </c>
      <c r="F9" s="9">
        <v>10398</v>
      </c>
      <c r="G9" s="14" t="s">
        <v>242</v>
      </c>
      <c r="H9" s="9">
        <v>10615</v>
      </c>
      <c r="I9" s="14" t="s">
        <v>242</v>
      </c>
      <c r="J9" s="9">
        <v>8923</v>
      </c>
      <c r="K9" s="9">
        <v>9294</v>
      </c>
      <c r="L9" s="9">
        <v>30760</v>
      </c>
      <c r="M9" s="9">
        <v>6454</v>
      </c>
      <c r="N9" s="9">
        <v>5141</v>
      </c>
      <c r="O9" s="9">
        <v>5281</v>
      </c>
      <c r="P9" s="9">
        <v>5452</v>
      </c>
      <c r="Q9" s="9">
        <v>5559</v>
      </c>
      <c r="R9" s="9">
        <v>32921</v>
      </c>
      <c r="S9" s="9">
        <v>33046</v>
      </c>
      <c r="T9" s="9">
        <v>36504</v>
      </c>
      <c r="U9" s="9">
        <v>37907</v>
      </c>
      <c r="V9" s="9">
        <v>39286</v>
      </c>
    </row>
    <row r="10" spans="2:22" ht="12.75">
      <c r="B10" s="9"/>
      <c r="C10" s="9"/>
      <c r="D10" s="9"/>
      <c r="E10" s="9"/>
      <c r="F10" s="9"/>
      <c r="G10" s="14"/>
      <c r="H10" s="9"/>
      <c r="I10" s="14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t="s">
        <v>299</v>
      </c>
      <c r="B11" s="9">
        <v>4018</v>
      </c>
      <c r="C11" s="9">
        <v>4834</v>
      </c>
      <c r="D11" s="9">
        <v>4962</v>
      </c>
      <c r="E11" s="9">
        <v>5237</v>
      </c>
      <c r="F11" s="9">
        <v>2832</v>
      </c>
      <c r="G11" s="14" t="s">
        <v>242</v>
      </c>
      <c r="H11" s="9">
        <v>2426</v>
      </c>
      <c r="I11" s="14" t="s">
        <v>242</v>
      </c>
      <c r="J11" s="9">
        <v>2375</v>
      </c>
      <c r="K11" s="9">
        <v>2502</v>
      </c>
      <c r="L11" s="9">
        <v>3213</v>
      </c>
      <c r="M11" s="9">
        <v>969</v>
      </c>
      <c r="N11" s="9">
        <v>979</v>
      </c>
      <c r="O11" s="9">
        <v>1053</v>
      </c>
      <c r="P11" s="9">
        <v>1239</v>
      </c>
      <c r="Q11" s="9">
        <v>1107</v>
      </c>
      <c r="R11" s="9">
        <v>4933</v>
      </c>
      <c r="S11" s="9">
        <v>4996</v>
      </c>
      <c r="T11" s="9">
        <v>5011</v>
      </c>
      <c r="U11" s="9">
        <v>4875</v>
      </c>
      <c r="V11" s="9">
        <v>5081</v>
      </c>
    </row>
    <row r="12" spans="2:22" ht="12.75">
      <c r="B12" s="9"/>
      <c r="C12" s="9"/>
      <c r="D12" s="9"/>
      <c r="E12" s="9"/>
      <c r="F12" s="9"/>
      <c r="G12" s="9"/>
      <c r="H12" s="9"/>
      <c r="I12" s="14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2:22" ht="12.75">
      <c r="B13" s="9"/>
      <c r="C13" s="9"/>
      <c r="D13" s="9"/>
      <c r="E13" s="9"/>
      <c r="F13" s="9"/>
      <c r="G13" s="9"/>
      <c r="H13" s="9"/>
      <c r="I13" s="14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5" spans="2:22" ht="12.75">
      <c r="B15" s="9"/>
      <c r="C15" s="9"/>
      <c r="D15" s="9"/>
      <c r="E15" s="9"/>
      <c r="F15" s="9"/>
      <c r="G15" s="9"/>
      <c r="H15" s="9"/>
      <c r="I15" s="14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E17" sqref="E17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3" spans="1:22" ht="12.75">
      <c r="A3" t="s">
        <v>275</v>
      </c>
      <c r="B3" s="59">
        <v>0.12349497723494977</v>
      </c>
      <c r="C3" s="59">
        <v>0.14594158372386062</v>
      </c>
      <c r="D3" s="59">
        <v>0.14413853245297123</v>
      </c>
      <c r="E3" s="59">
        <v>0.15370335239437383</v>
      </c>
      <c r="F3" s="59">
        <v>0.13247065101387406</v>
      </c>
      <c r="G3" s="14" t="s">
        <v>242</v>
      </c>
      <c r="H3" s="59">
        <v>0.1181422202920025</v>
      </c>
      <c r="I3" s="14" t="s">
        <v>242</v>
      </c>
      <c r="J3" s="59">
        <v>0.10619746884358999</v>
      </c>
      <c r="K3" s="59">
        <v>0.10375454178441663</v>
      </c>
      <c r="L3" s="59">
        <v>0.2834457304292354</v>
      </c>
      <c r="M3" s="59">
        <v>0.33104560110548137</v>
      </c>
      <c r="N3" s="59">
        <v>0.3247161023601444</v>
      </c>
      <c r="O3" s="59">
        <v>0.2875994215473608</v>
      </c>
      <c r="P3" s="59">
        <v>0.2766331873980599</v>
      </c>
      <c r="Q3" s="59">
        <v>0.26980322906155396</v>
      </c>
      <c r="R3" s="59">
        <v>0.09704055610398157</v>
      </c>
      <c r="S3" s="59">
        <v>0.09076251326937329</v>
      </c>
      <c r="T3" s="59">
        <v>0.0937656340196267</v>
      </c>
      <c r="U3" s="59">
        <v>0.09029299412460491</v>
      </c>
      <c r="V3" s="59">
        <v>0.08780180400492857</v>
      </c>
    </row>
    <row r="4" spans="2:22" ht="12.75">
      <c r="B4" s="9"/>
      <c r="C4" s="9"/>
      <c r="D4" s="9"/>
      <c r="E4" s="9"/>
      <c r="F4" s="9"/>
      <c r="G4" s="14"/>
      <c r="H4" s="9"/>
      <c r="I4" s="1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2.75">
      <c r="A5" t="s">
        <v>277</v>
      </c>
      <c r="B5" s="59">
        <v>0.11621016116210162</v>
      </c>
      <c r="C5" s="59">
        <v>0.10250456598377483</v>
      </c>
      <c r="D5" s="59">
        <v>0.0887560040419141</v>
      </c>
      <c r="E5" s="59">
        <v>0.09485351906555733</v>
      </c>
      <c r="F5" s="59">
        <v>0.06682313405966209</v>
      </c>
      <c r="G5" s="14" t="s">
        <v>242</v>
      </c>
      <c r="H5" s="59">
        <v>0.06080804985187455</v>
      </c>
      <c r="I5" s="14" t="s">
        <v>242</v>
      </c>
      <c r="J5" s="59">
        <v>0.051576900312843496</v>
      </c>
      <c r="K5" s="59">
        <v>0.05549025893079745</v>
      </c>
      <c r="L5" s="14" t="s">
        <v>242</v>
      </c>
      <c r="M5" s="14" t="s">
        <v>242</v>
      </c>
      <c r="N5" s="14" t="s">
        <v>242</v>
      </c>
      <c r="O5" s="14" t="s">
        <v>242</v>
      </c>
      <c r="P5" s="14" t="s">
        <v>242</v>
      </c>
      <c r="Q5" s="14" t="s">
        <v>242</v>
      </c>
      <c r="R5" s="59">
        <v>0.06939736537641829</v>
      </c>
      <c r="S5" s="59">
        <v>0.06262773866766719</v>
      </c>
      <c r="T5" s="59">
        <v>0.06156865734212432</v>
      </c>
      <c r="U5" s="59">
        <v>0.05403302498487075</v>
      </c>
      <c r="V5" s="59">
        <v>0.05563862291854342</v>
      </c>
    </row>
    <row r="6" spans="2:22" ht="12.75">
      <c r="B6" s="9"/>
      <c r="C6" s="9"/>
      <c r="D6" s="9"/>
      <c r="E6" s="9"/>
      <c r="F6" s="9"/>
      <c r="G6" s="14"/>
      <c r="H6" s="9"/>
      <c r="I6" s="1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t="s">
        <v>278</v>
      </c>
      <c r="B7" s="59">
        <v>0.13222519332225194</v>
      </c>
      <c r="C7" s="59">
        <v>0.1715252509521315</v>
      </c>
      <c r="D7" s="59">
        <v>0.1845161468931246</v>
      </c>
      <c r="E7" s="59">
        <v>0.17821621182145858</v>
      </c>
      <c r="F7" s="59">
        <v>0.14293354726567722</v>
      </c>
      <c r="G7" s="14" t="s">
        <v>242</v>
      </c>
      <c r="H7" s="59">
        <v>0.13194817830350514</v>
      </c>
      <c r="I7" s="14" t="s">
        <v>242</v>
      </c>
      <c r="J7" s="59">
        <v>0.15744727167182662</v>
      </c>
      <c r="K7" s="59">
        <v>0.13757072892396938</v>
      </c>
      <c r="L7" s="59">
        <v>0.04590841011210457</v>
      </c>
      <c r="M7" s="59">
        <v>0.046559888733125075</v>
      </c>
      <c r="N7" s="59">
        <v>0.06264406634288594</v>
      </c>
      <c r="O7" s="59">
        <v>0.07219971555402319</v>
      </c>
      <c r="P7" s="59">
        <v>0.07222645341457222</v>
      </c>
      <c r="Q7" s="59">
        <v>0.07123682180509128</v>
      </c>
      <c r="R7" s="59">
        <v>0.10587743192646323</v>
      </c>
      <c r="S7" s="59">
        <v>0.08324397315223003</v>
      </c>
      <c r="T7" s="59">
        <v>0.08845352710239107</v>
      </c>
      <c r="U7" s="59">
        <v>0.08727241065727609</v>
      </c>
      <c r="V7" s="59">
        <v>0.08834586466165413</v>
      </c>
    </row>
    <row r="8" spans="2:22" ht="12.75">
      <c r="B8" s="9"/>
      <c r="C8" s="9"/>
      <c r="D8" s="9"/>
      <c r="E8" s="9"/>
      <c r="F8" s="9"/>
      <c r="G8" s="14"/>
      <c r="H8" s="9"/>
      <c r="I8" s="1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>
      <c r="A9" t="s">
        <v>276</v>
      </c>
      <c r="B9" s="59">
        <v>0.14138902941389028</v>
      </c>
      <c r="C9" s="59">
        <v>0.194546304030808</v>
      </c>
      <c r="D9" s="59">
        <v>0.17133839956812424</v>
      </c>
      <c r="E9" s="59">
        <v>0.17561451529851757</v>
      </c>
      <c r="F9" s="59">
        <v>0.13869362820290512</v>
      </c>
      <c r="G9" s="14" t="s">
        <v>242</v>
      </c>
      <c r="H9" s="59">
        <v>0.13561855604246784</v>
      </c>
      <c r="I9" s="14" t="s">
        <v>242</v>
      </c>
      <c r="J9" s="59">
        <v>0.10775008452881225</v>
      </c>
      <c r="K9" s="59">
        <v>0.11028443273646364</v>
      </c>
      <c r="L9" s="59">
        <v>0.3582534561675266</v>
      </c>
      <c r="M9" s="59">
        <v>0.302380059970015</v>
      </c>
      <c r="N9" s="59">
        <v>0.273909105439821</v>
      </c>
      <c r="O9" s="59">
        <v>0.2220120233741119</v>
      </c>
      <c r="P9" s="59">
        <v>0.23879812535587577</v>
      </c>
      <c r="Q9" s="59">
        <v>0.23687574569626726</v>
      </c>
      <c r="R9" s="59">
        <v>0.34322025063074707</v>
      </c>
      <c r="S9" s="59">
        <v>0.3363049805621705</v>
      </c>
      <c r="T9" s="59">
        <v>0.35633474224690803</v>
      </c>
      <c r="U9" s="59">
        <v>0.37393586063350204</v>
      </c>
      <c r="V9" s="59">
        <v>0.3745161966863048</v>
      </c>
    </row>
    <row r="10" spans="2:22" ht="12.75">
      <c r="B10" s="9"/>
      <c r="C10" s="9"/>
      <c r="D10" s="9"/>
      <c r="E10" s="9"/>
      <c r="F10" s="9"/>
      <c r="G10" s="14"/>
      <c r="H10" s="9"/>
      <c r="I10" s="14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>
      <c r="A11" t="s">
        <v>299</v>
      </c>
      <c r="B11" s="59">
        <v>0.058076172580761726</v>
      </c>
      <c r="C11" s="59">
        <v>0.06844020331016126</v>
      </c>
      <c r="D11" s="59">
        <v>0.06868485528009634</v>
      </c>
      <c r="E11" s="59">
        <v>0.07096398276376054</v>
      </c>
      <c r="F11" s="59">
        <v>0.03775597269624573</v>
      </c>
      <c r="G11" s="14" t="s">
        <v>242</v>
      </c>
      <c r="H11" s="59">
        <v>0.030988937996576656</v>
      </c>
      <c r="I11" s="14" t="s">
        <v>242</v>
      </c>
      <c r="J11" s="59">
        <v>0.028689465228368145</v>
      </c>
      <c r="K11" s="59">
        <v>0.029717081977338054</v>
      </c>
      <c r="L11" s="59">
        <v>0.039241310242067465</v>
      </c>
      <c r="M11" s="59">
        <v>0.046517209927511884</v>
      </c>
      <c r="N11" s="59">
        <v>0.05312567831560668</v>
      </c>
      <c r="O11" s="59">
        <v>0.049145897507700924</v>
      </c>
      <c r="P11" s="59">
        <v>0.05514754973961811</v>
      </c>
      <c r="Q11" s="59">
        <v>0.04777317452097359</v>
      </c>
      <c r="R11" s="59">
        <v>0.053725848962077154</v>
      </c>
      <c r="S11" s="59">
        <v>0.053104870426667235</v>
      </c>
      <c r="T11" s="59">
        <v>0.05142176933575511</v>
      </c>
      <c r="U11" s="59">
        <v>0.050418864412038474</v>
      </c>
      <c r="V11" s="59">
        <v>0.050350301745067536</v>
      </c>
    </row>
    <row r="16" spans="1:14" ht="12.75">
      <c r="A16" s="7"/>
      <c r="B16" s="34">
        <v>1973</v>
      </c>
      <c r="C16" s="34">
        <v>1974</v>
      </c>
      <c r="D16" s="34">
        <v>1975</v>
      </c>
      <c r="E16" s="34">
        <v>1976</v>
      </c>
      <c r="F16" s="34">
        <v>1977</v>
      </c>
      <c r="G16" s="34">
        <v>1979</v>
      </c>
      <c r="H16" s="34">
        <v>1981</v>
      </c>
      <c r="I16" s="34">
        <v>1983</v>
      </c>
      <c r="J16" s="15">
        <v>1997</v>
      </c>
      <c r="K16" s="15">
        <v>1999</v>
      </c>
      <c r="L16" s="15">
        <v>2001</v>
      </c>
      <c r="M16" s="15">
        <v>2003</v>
      </c>
      <c r="N16" s="15">
        <v>2005</v>
      </c>
    </row>
    <row r="18" spans="1:14" ht="12.75">
      <c r="A18" t="s">
        <v>275</v>
      </c>
      <c r="B18" s="59">
        <v>0.12349497723494977</v>
      </c>
      <c r="C18" s="59">
        <v>0.14594158372386062</v>
      </c>
      <c r="D18" s="59">
        <v>0.14413853245297123</v>
      </c>
      <c r="E18" s="59">
        <v>0.15370335239437383</v>
      </c>
      <c r="F18" s="59">
        <v>0.13247065101387406</v>
      </c>
      <c r="G18" s="59">
        <v>0.1181422202920025</v>
      </c>
      <c r="H18" s="59">
        <v>0.10619746884358999</v>
      </c>
      <c r="I18" s="59">
        <v>0.10375454178441663</v>
      </c>
      <c r="J18" s="59">
        <v>0.09704055610398157</v>
      </c>
      <c r="K18" s="59">
        <v>0.09076251326937329</v>
      </c>
      <c r="L18" s="59">
        <v>0.0937656340196267</v>
      </c>
      <c r="M18" s="59">
        <v>0.09029299412460491</v>
      </c>
      <c r="N18" s="59">
        <v>0.08780180400492857</v>
      </c>
    </row>
    <row r="19" spans="2:14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2.75">
      <c r="A20" t="s">
        <v>277</v>
      </c>
      <c r="B20" s="59">
        <v>0.11621016116210162</v>
      </c>
      <c r="C20" s="59">
        <v>0.10250456598377483</v>
      </c>
      <c r="D20" s="59">
        <v>0.0887560040419141</v>
      </c>
      <c r="E20" s="59">
        <v>0.09485351906555733</v>
      </c>
      <c r="F20" s="59">
        <v>0.06682313405966209</v>
      </c>
      <c r="G20" s="59">
        <v>0.06080804985187455</v>
      </c>
      <c r="H20" s="59">
        <v>0.051576900312843496</v>
      </c>
      <c r="I20" s="59">
        <v>0.05549025893079745</v>
      </c>
      <c r="J20" s="59">
        <v>0.06939736537641829</v>
      </c>
      <c r="K20" s="59">
        <v>0.06262773866766719</v>
      </c>
      <c r="L20" s="59">
        <v>0.06156865734212432</v>
      </c>
      <c r="M20" s="59">
        <v>0.05403302498487075</v>
      </c>
      <c r="N20" s="59">
        <v>0.05563862291854342</v>
      </c>
    </row>
    <row r="21" spans="2:14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2.75">
      <c r="A22" t="s">
        <v>278</v>
      </c>
      <c r="B22" s="59">
        <v>0.13222519332225194</v>
      </c>
      <c r="C22" s="59">
        <v>0.1715252509521315</v>
      </c>
      <c r="D22" s="59">
        <v>0.1845161468931246</v>
      </c>
      <c r="E22" s="59">
        <v>0.17821621182145858</v>
      </c>
      <c r="F22" s="59">
        <v>0.14293354726567722</v>
      </c>
      <c r="G22" s="59">
        <v>0.13194817830350514</v>
      </c>
      <c r="H22" s="59">
        <v>0.15744727167182662</v>
      </c>
      <c r="I22" s="59">
        <v>0.13757072892396938</v>
      </c>
      <c r="J22" s="59">
        <v>0.10587743192646323</v>
      </c>
      <c r="K22" s="59">
        <v>0.08324397315223003</v>
      </c>
      <c r="L22" s="59">
        <v>0.08845352710239107</v>
      </c>
      <c r="M22" s="59">
        <v>0.08727241065727609</v>
      </c>
      <c r="N22" s="59">
        <v>0.08834586466165413</v>
      </c>
    </row>
    <row r="23" spans="2:14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2.75">
      <c r="A24" t="s">
        <v>276</v>
      </c>
      <c r="B24" s="59">
        <v>0.14138902941389028</v>
      </c>
      <c r="C24" s="59">
        <v>0.194546304030808</v>
      </c>
      <c r="D24" s="59">
        <v>0.17133839956812424</v>
      </c>
      <c r="E24" s="59">
        <v>0.17561451529851757</v>
      </c>
      <c r="F24" s="59">
        <v>0.13869362820290512</v>
      </c>
      <c r="G24" s="59">
        <v>0.13561855604246784</v>
      </c>
      <c r="H24" s="59">
        <v>0.10775008452881225</v>
      </c>
      <c r="I24" s="59">
        <v>0.11028443273646364</v>
      </c>
      <c r="J24" s="59">
        <v>0.34322025063074707</v>
      </c>
      <c r="K24" s="59">
        <v>0.3363049805621705</v>
      </c>
      <c r="L24" s="59">
        <v>0.35633474224690803</v>
      </c>
      <c r="M24" s="59">
        <v>0.37393586063350204</v>
      </c>
      <c r="N24" s="59">
        <v>0.3745161966863048</v>
      </c>
    </row>
    <row r="25" spans="2:14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2.75">
      <c r="A26" t="s">
        <v>299</v>
      </c>
      <c r="B26" s="59">
        <v>0.058076172580761726</v>
      </c>
      <c r="C26" s="59">
        <v>0.06844020331016126</v>
      </c>
      <c r="D26" s="59">
        <v>0.06868485528009634</v>
      </c>
      <c r="E26" s="59">
        <v>0.07096398276376054</v>
      </c>
      <c r="F26" s="59">
        <v>0.03775597269624573</v>
      </c>
      <c r="G26" s="59">
        <v>0.030988937996576656</v>
      </c>
      <c r="H26" s="59">
        <v>0.028689465228368145</v>
      </c>
      <c r="I26" s="59">
        <v>0.029717081977338054</v>
      </c>
      <c r="J26" s="59">
        <v>0.053725848962077154</v>
      </c>
      <c r="K26" s="59">
        <v>0.053104870426667235</v>
      </c>
      <c r="L26" s="59">
        <v>0.05142176933575511</v>
      </c>
      <c r="M26" s="59">
        <v>0.050418864412038474</v>
      </c>
      <c r="N26" s="59">
        <v>0.050350301745067536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9"/>
  <sheetViews>
    <sheetView workbookViewId="0" topLeftCell="D1">
      <selection activeCell="D1" sqref="A1:IV1"/>
    </sheetView>
  </sheetViews>
  <sheetFormatPr defaultColWidth="9.140625" defaultRowHeight="12.75"/>
  <cols>
    <col min="1" max="1" width="27.00390625" style="0" customWidth="1"/>
  </cols>
  <sheetData>
    <row r="1" spans="1:22" ht="12.75">
      <c r="A1" s="7"/>
      <c r="B1" s="34">
        <v>1973</v>
      </c>
      <c r="C1" s="34">
        <v>1974</v>
      </c>
      <c r="D1" s="34">
        <v>1975</v>
      </c>
      <c r="E1" s="34">
        <v>1976</v>
      </c>
      <c r="F1" s="34">
        <v>1977</v>
      </c>
      <c r="G1" s="34">
        <v>1978</v>
      </c>
      <c r="H1" s="34">
        <v>1979</v>
      </c>
      <c r="I1" s="34">
        <v>1980</v>
      </c>
      <c r="J1" s="34">
        <v>1981</v>
      </c>
      <c r="K1" s="34">
        <v>1983</v>
      </c>
      <c r="L1" s="34">
        <v>1985</v>
      </c>
      <c r="M1" s="33">
        <v>1987</v>
      </c>
      <c r="N1" s="33">
        <v>1989</v>
      </c>
      <c r="O1" s="33">
        <v>1991</v>
      </c>
      <c r="P1" s="33">
        <v>1993</v>
      </c>
      <c r="Q1" s="33">
        <v>1995</v>
      </c>
      <c r="R1" s="15">
        <v>1997</v>
      </c>
      <c r="S1" s="15">
        <v>1999</v>
      </c>
      <c r="T1" s="15">
        <v>2001</v>
      </c>
      <c r="U1" s="15">
        <v>2003</v>
      </c>
      <c r="V1" s="15">
        <v>2005</v>
      </c>
    </row>
    <row r="2" spans="1:22" ht="12.75">
      <c r="A2" s="92" t="s">
        <v>106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3"/>
      <c r="N2" s="33"/>
      <c r="O2" s="33"/>
      <c r="P2" s="33"/>
      <c r="Q2" s="33"/>
      <c r="R2" s="15"/>
      <c r="S2" s="15"/>
      <c r="T2" s="15"/>
      <c r="U2" s="15"/>
      <c r="V2" s="15"/>
    </row>
    <row r="3" spans="1:22" ht="12.75">
      <c r="A3" s="92" t="s">
        <v>142</v>
      </c>
      <c r="B3" s="14" t="s">
        <v>242</v>
      </c>
      <c r="C3" s="9">
        <v>6891</v>
      </c>
      <c r="D3" s="9">
        <v>7833</v>
      </c>
      <c r="E3" s="9">
        <v>7857</v>
      </c>
      <c r="F3" s="9">
        <v>7861</v>
      </c>
      <c r="G3" s="14" t="s">
        <v>242</v>
      </c>
      <c r="H3" s="14" t="s">
        <v>242</v>
      </c>
      <c r="I3" s="9">
        <v>7999</v>
      </c>
      <c r="J3" s="9">
        <v>7848</v>
      </c>
      <c r="K3" s="9">
        <v>8213</v>
      </c>
      <c r="L3" s="9">
        <v>8372</v>
      </c>
      <c r="M3" s="9">
        <v>8491</v>
      </c>
      <c r="N3" s="9">
        <v>8384</v>
      </c>
      <c r="O3" s="9">
        <v>8305</v>
      </c>
      <c r="P3" s="9">
        <v>8363</v>
      </c>
      <c r="Q3" s="9">
        <v>7909</v>
      </c>
      <c r="R3" s="9">
        <v>7365</v>
      </c>
      <c r="S3" s="9">
        <v>7633</v>
      </c>
      <c r="T3" s="9">
        <v>8605</v>
      </c>
      <c r="U3" s="9">
        <v>7720</v>
      </c>
      <c r="V3" s="9">
        <v>6862</v>
      </c>
    </row>
    <row r="4" spans="1:22" ht="12.75">
      <c r="A4" s="92" t="s">
        <v>250</v>
      </c>
      <c r="B4" s="14" t="s">
        <v>242</v>
      </c>
      <c r="C4" s="9">
        <v>15264</v>
      </c>
      <c r="D4" s="9">
        <v>11464</v>
      </c>
      <c r="E4" s="9">
        <v>12087</v>
      </c>
      <c r="F4" s="9">
        <v>16260</v>
      </c>
      <c r="G4" s="14" t="s">
        <v>242</v>
      </c>
      <c r="H4" s="14" t="s">
        <v>242</v>
      </c>
      <c r="I4" s="9">
        <v>19080</v>
      </c>
      <c r="J4" s="9">
        <v>20069</v>
      </c>
      <c r="K4" s="9">
        <v>19545</v>
      </c>
      <c r="L4" s="9">
        <v>22570</v>
      </c>
      <c r="M4" s="9">
        <v>22828</v>
      </c>
      <c r="N4" s="9">
        <v>24000</v>
      </c>
      <c r="O4" s="9">
        <v>25180</v>
      </c>
      <c r="P4" s="9">
        <v>26793</v>
      </c>
      <c r="Q4" s="9">
        <v>27906</v>
      </c>
      <c r="R4" s="9">
        <v>25579</v>
      </c>
      <c r="S4" s="9">
        <v>28204</v>
      </c>
      <c r="T4" s="9">
        <v>31796</v>
      </c>
      <c r="U4" s="9">
        <v>32527</v>
      </c>
      <c r="V4" s="9">
        <v>35908</v>
      </c>
    </row>
    <row r="5" spans="1:22" ht="12.75">
      <c r="A5" s="92" t="s">
        <v>110</v>
      </c>
      <c r="B5" s="14" t="s">
        <v>242</v>
      </c>
      <c r="C5" s="9">
        <v>804</v>
      </c>
      <c r="D5" s="9">
        <v>4203</v>
      </c>
      <c r="E5" s="9">
        <v>4145</v>
      </c>
      <c r="F5" s="9">
        <v>768</v>
      </c>
      <c r="G5" s="14" t="s">
        <v>242</v>
      </c>
      <c r="H5" s="14" t="s">
        <v>242</v>
      </c>
      <c r="I5" s="14" t="s">
        <v>242</v>
      </c>
      <c r="J5" s="14" t="s">
        <v>242</v>
      </c>
      <c r="K5" s="14" t="s">
        <v>242</v>
      </c>
      <c r="L5" s="9">
        <v>1253</v>
      </c>
      <c r="M5" s="9">
        <v>1747</v>
      </c>
      <c r="N5" s="9">
        <v>2103</v>
      </c>
      <c r="O5" s="9">
        <v>1857</v>
      </c>
      <c r="P5" s="9">
        <v>2027</v>
      </c>
      <c r="Q5" s="9">
        <v>3211</v>
      </c>
      <c r="R5" s="9">
        <v>2911</v>
      </c>
      <c r="S5" s="9">
        <v>3047</v>
      </c>
      <c r="T5" s="9">
        <v>2977</v>
      </c>
      <c r="U5" s="9">
        <v>3432</v>
      </c>
      <c r="V5" s="9">
        <v>3309</v>
      </c>
    </row>
    <row r="7" spans="1:22" ht="12.75">
      <c r="A7" s="18" t="s">
        <v>105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0"/>
      <c r="T7" s="10"/>
      <c r="U7" s="10"/>
      <c r="V7" s="10"/>
    </row>
    <row r="8" spans="1:22" ht="12.75">
      <c r="A8" s="18" t="s">
        <v>100</v>
      </c>
      <c r="B8" s="14" t="s">
        <v>242</v>
      </c>
      <c r="C8" s="14" t="s">
        <v>242</v>
      </c>
      <c r="D8" s="14" t="s">
        <v>242</v>
      </c>
      <c r="E8" s="14" t="s">
        <v>242</v>
      </c>
      <c r="F8" s="14" t="s">
        <v>242</v>
      </c>
      <c r="G8" s="14" t="s">
        <v>242</v>
      </c>
      <c r="H8" s="14" t="s">
        <v>242</v>
      </c>
      <c r="I8" s="14" t="s">
        <v>242</v>
      </c>
      <c r="J8" s="14" t="s">
        <v>242</v>
      </c>
      <c r="K8" s="14" t="s">
        <v>242</v>
      </c>
      <c r="L8" s="9">
        <v>25383</v>
      </c>
      <c r="M8" s="9">
        <v>25599</v>
      </c>
      <c r="N8" s="9">
        <v>25604</v>
      </c>
      <c r="O8" s="9">
        <v>27008</v>
      </c>
      <c r="P8" s="9">
        <v>28147</v>
      </c>
      <c r="Q8" s="9">
        <v>30002</v>
      </c>
      <c r="R8" s="9">
        <v>27590</v>
      </c>
      <c r="S8" s="9">
        <v>31472</v>
      </c>
      <c r="T8" s="9">
        <v>35689</v>
      </c>
      <c r="U8" s="9">
        <v>36221</v>
      </c>
      <c r="V8" s="9">
        <v>37392</v>
      </c>
    </row>
    <row r="9" spans="1:22" ht="12.75">
      <c r="A9" s="18" t="s">
        <v>101</v>
      </c>
      <c r="B9" s="14" t="s">
        <v>242</v>
      </c>
      <c r="C9" s="14" t="s">
        <v>242</v>
      </c>
      <c r="D9" s="14" t="s">
        <v>242</v>
      </c>
      <c r="E9" s="14" t="s">
        <v>242</v>
      </c>
      <c r="F9" s="14" t="s">
        <v>242</v>
      </c>
      <c r="G9" s="14" t="s">
        <v>242</v>
      </c>
      <c r="H9" s="14" t="s">
        <v>242</v>
      </c>
      <c r="I9" s="14" t="s">
        <v>242</v>
      </c>
      <c r="J9" s="14" t="s">
        <v>242</v>
      </c>
      <c r="K9" s="14" t="s">
        <v>242</v>
      </c>
      <c r="L9" s="9">
        <v>2191</v>
      </c>
      <c r="M9" s="9">
        <v>2791</v>
      </c>
      <c r="N9" s="9">
        <v>3617</v>
      </c>
      <c r="O9" s="9">
        <v>3103</v>
      </c>
      <c r="P9" s="9">
        <v>3670</v>
      </c>
      <c r="Q9" s="9">
        <v>4473</v>
      </c>
      <c r="R9" s="9">
        <v>2955</v>
      </c>
      <c r="S9" s="9">
        <v>2057</v>
      </c>
      <c r="T9" s="9">
        <v>1964</v>
      </c>
      <c r="U9" s="9">
        <v>1695</v>
      </c>
      <c r="V9" s="9">
        <v>2441</v>
      </c>
    </row>
    <row r="10" spans="1:22" ht="12.75">
      <c r="A10" s="18" t="s">
        <v>102</v>
      </c>
      <c r="B10" s="14" t="s">
        <v>242</v>
      </c>
      <c r="C10" s="14" t="s">
        <v>242</v>
      </c>
      <c r="D10" s="14" t="s">
        <v>242</v>
      </c>
      <c r="E10" s="14" t="s">
        <v>242</v>
      </c>
      <c r="F10" s="14" t="s">
        <v>242</v>
      </c>
      <c r="G10" s="14" t="s">
        <v>242</v>
      </c>
      <c r="H10" s="14" t="s">
        <v>242</v>
      </c>
      <c r="I10" s="14" t="s">
        <v>242</v>
      </c>
      <c r="J10" s="14" t="s">
        <v>242</v>
      </c>
      <c r="K10" s="14" t="s">
        <v>242</v>
      </c>
      <c r="L10" s="9">
        <v>56</v>
      </c>
      <c r="M10" s="9">
        <v>38</v>
      </c>
      <c r="N10" s="9">
        <v>79</v>
      </c>
      <c r="O10" s="9">
        <v>69</v>
      </c>
      <c r="P10" s="9">
        <v>79</v>
      </c>
      <c r="Q10" s="9">
        <v>0</v>
      </c>
      <c r="R10" s="9">
        <v>256</v>
      </c>
      <c r="S10" s="9">
        <v>277</v>
      </c>
      <c r="T10" s="9">
        <v>504</v>
      </c>
      <c r="U10" s="9">
        <v>113</v>
      </c>
      <c r="V10" s="9">
        <v>160</v>
      </c>
    </row>
    <row r="11" spans="1:22" ht="12.75">
      <c r="A11" s="18" t="s">
        <v>103</v>
      </c>
      <c r="B11" s="14" t="s">
        <v>242</v>
      </c>
      <c r="C11" s="14" t="s">
        <v>242</v>
      </c>
      <c r="D11" s="14" t="s">
        <v>242</v>
      </c>
      <c r="E11" s="14" t="s">
        <v>242</v>
      </c>
      <c r="F11" s="14" t="s">
        <v>242</v>
      </c>
      <c r="G11" s="14" t="s">
        <v>242</v>
      </c>
      <c r="H11" s="14" t="s">
        <v>242</v>
      </c>
      <c r="I11" s="14" t="s">
        <v>242</v>
      </c>
      <c r="J11" s="14" t="s">
        <v>242</v>
      </c>
      <c r="K11" s="14" t="s">
        <v>242</v>
      </c>
      <c r="L11" s="9">
        <v>585</v>
      </c>
      <c r="M11" s="9">
        <v>362</v>
      </c>
      <c r="N11" s="9">
        <v>462</v>
      </c>
      <c r="O11" s="9">
        <v>434</v>
      </c>
      <c r="P11" s="9">
        <v>332</v>
      </c>
      <c r="Q11" s="9">
        <v>370</v>
      </c>
      <c r="R11" s="9">
        <v>376</v>
      </c>
      <c r="S11" s="9">
        <v>363</v>
      </c>
      <c r="T11" s="9">
        <v>382</v>
      </c>
      <c r="U11" s="9">
        <v>286</v>
      </c>
      <c r="V11" s="9">
        <v>517</v>
      </c>
    </row>
    <row r="12" spans="1:22" ht="12.75">
      <c r="A12" s="18" t="s">
        <v>104</v>
      </c>
      <c r="B12" s="14" t="s">
        <v>242</v>
      </c>
      <c r="C12" s="14" t="s">
        <v>242</v>
      </c>
      <c r="D12" s="14" t="s">
        <v>242</v>
      </c>
      <c r="E12" s="14" t="s">
        <v>242</v>
      </c>
      <c r="F12" s="14" t="s">
        <v>242</v>
      </c>
      <c r="G12" s="14" t="s">
        <v>242</v>
      </c>
      <c r="H12" s="14" t="s">
        <v>242</v>
      </c>
      <c r="I12" s="14" t="s">
        <v>242</v>
      </c>
      <c r="J12" s="14" t="s">
        <v>242</v>
      </c>
      <c r="K12" s="14" t="s">
        <v>242</v>
      </c>
      <c r="L12" s="9">
        <v>303</v>
      </c>
      <c r="M12" s="9">
        <v>228</v>
      </c>
      <c r="N12" s="9">
        <v>228</v>
      </c>
      <c r="O12" s="9">
        <v>273</v>
      </c>
      <c r="P12" s="9">
        <v>305</v>
      </c>
      <c r="Q12" s="9">
        <v>586</v>
      </c>
      <c r="R12" s="9">
        <v>328</v>
      </c>
      <c r="S12" s="9">
        <v>302</v>
      </c>
      <c r="T12" s="9">
        <v>357</v>
      </c>
      <c r="U12" s="9">
        <v>410</v>
      </c>
      <c r="V12" s="9">
        <v>518</v>
      </c>
    </row>
    <row r="13" spans="1:22" ht="12.75">
      <c r="A13" s="18" t="s">
        <v>52</v>
      </c>
      <c r="B13" s="14" t="s">
        <v>242</v>
      </c>
      <c r="C13" s="14" t="s">
        <v>242</v>
      </c>
      <c r="D13" s="14" t="s">
        <v>242</v>
      </c>
      <c r="E13" s="14" t="s">
        <v>242</v>
      </c>
      <c r="F13" s="14" t="s">
        <v>242</v>
      </c>
      <c r="G13" s="14" t="s">
        <v>242</v>
      </c>
      <c r="H13" s="14" t="s">
        <v>242</v>
      </c>
      <c r="I13" s="14" t="s">
        <v>242</v>
      </c>
      <c r="J13" s="14" t="s">
        <v>242</v>
      </c>
      <c r="K13" s="14" t="s">
        <v>242</v>
      </c>
      <c r="L13" s="9">
        <v>525</v>
      </c>
      <c r="M13" s="9">
        <v>626</v>
      </c>
      <c r="N13" s="9">
        <v>695</v>
      </c>
      <c r="O13" s="9">
        <v>738</v>
      </c>
      <c r="P13" s="9">
        <v>834</v>
      </c>
      <c r="Q13" s="9">
        <v>903</v>
      </c>
      <c r="R13" s="9">
        <v>377</v>
      </c>
      <c r="S13" s="9">
        <v>276</v>
      </c>
      <c r="T13" s="9">
        <v>328</v>
      </c>
      <c r="U13" s="9">
        <v>313</v>
      </c>
      <c r="V13" s="9">
        <v>498</v>
      </c>
    </row>
    <row r="14" spans="1:22" ht="12.75">
      <c r="A14" s="18" t="s">
        <v>99</v>
      </c>
      <c r="B14" s="14" t="s">
        <v>242</v>
      </c>
      <c r="C14" s="14" t="s">
        <v>242</v>
      </c>
      <c r="D14" s="14" t="s">
        <v>242</v>
      </c>
      <c r="E14" s="14" t="s">
        <v>242</v>
      </c>
      <c r="F14" s="14" t="s">
        <v>242</v>
      </c>
      <c r="G14" s="14" t="s">
        <v>242</v>
      </c>
      <c r="H14" s="14" t="s">
        <v>242</v>
      </c>
      <c r="I14" s="14" t="s">
        <v>242</v>
      </c>
      <c r="J14" s="14" t="s">
        <v>242</v>
      </c>
      <c r="K14" s="14" t="s">
        <v>242</v>
      </c>
      <c r="L14" s="9">
        <v>3152</v>
      </c>
      <c r="M14" s="9">
        <v>3423</v>
      </c>
      <c r="N14" s="9">
        <v>3801</v>
      </c>
      <c r="O14" s="9">
        <v>3716</v>
      </c>
      <c r="P14" s="9">
        <v>3816</v>
      </c>
      <c r="Q14" s="9">
        <v>2691</v>
      </c>
      <c r="R14" s="9">
        <v>3972</v>
      </c>
      <c r="S14" s="9">
        <v>4138</v>
      </c>
      <c r="T14" s="9">
        <v>4155</v>
      </c>
      <c r="U14" s="9">
        <v>4641</v>
      </c>
      <c r="V14" s="9">
        <v>4553</v>
      </c>
    </row>
    <row r="16" spans="1:22" ht="12.75">
      <c r="A16" s="18" t="s">
        <v>113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  <c r="S16" s="10"/>
      <c r="T16" s="10"/>
      <c r="U16" s="10"/>
      <c r="V16" s="10"/>
    </row>
    <row r="17" spans="1:22" ht="12.75">
      <c r="A17" s="18" t="s">
        <v>111</v>
      </c>
      <c r="B17" s="14" t="s">
        <v>242</v>
      </c>
      <c r="C17" s="14" t="s">
        <v>242</v>
      </c>
      <c r="D17" s="14" t="s">
        <v>242</v>
      </c>
      <c r="E17" s="14" t="s">
        <v>242</v>
      </c>
      <c r="F17" s="14" t="s">
        <v>242</v>
      </c>
      <c r="G17" s="14" t="s">
        <v>242</v>
      </c>
      <c r="H17" s="14" t="s">
        <v>242</v>
      </c>
      <c r="I17" s="14" t="s">
        <v>242</v>
      </c>
      <c r="J17" s="14" t="s">
        <v>242</v>
      </c>
      <c r="K17" s="14" t="s">
        <v>242</v>
      </c>
      <c r="L17" s="9">
        <v>23827</v>
      </c>
      <c r="M17" s="9">
        <v>22337</v>
      </c>
      <c r="N17" s="9">
        <v>23145</v>
      </c>
      <c r="O17" s="9">
        <v>23293</v>
      </c>
      <c r="P17" s="9">
        <v>21311</v>
      </c>
      <c r="Q17" s="9">
        <v>24393</v>
      </c>
      <c r="R17" s="9">
        <v>31549</v>
      </c>
      <c r="S17" s="9">
        <v>27439</v>
      </c>
      <c r="T17" s="9">
        <v>30230</v>
      </c>
      <c r="U17" s="9">
        <v>26276</v>
      </c>
      <c r="V17" s="9">
        <v>27592</v>
      </c>
    </row>
    <row r="18" spans="1:22" ht="12.75">
      <c r="A18" s="18" t="s">
        <v>112</v>
      </c>
      <c r="B18" s="14" t="s">
        <v>242</v>
      </c>
      <c r="C18" s="14" t="s">
        <v>242</v>
      </c>
      <c r="D18" s="14" t="s">
        <v>242</v>
      </c>
      <c r="E18" s="14" t="s">
        <v>242</v>
      </c>
      <c r="F18" s="14" t="s">
        <v>242</v>
      </c>
      <c r="G18" s="14" t="s">
        <v>242</v>
      </c>
      <c r="H18" s="14" t="s">
        <v>242</v>
      </c>
      <c r="I18" s="14" t="s">
        <v>242</v>
      </c>
      <c r="J18" s="14" t="s">
        <v>242</v>
      </c>
      <c r="K18" s="14" t="s">
        <v>242</v>
      </c>
      <c r="L18" s="9">
        <v>2504</v>
      </c>
      <c r="M18" s="9">
        <v>4792</v>
      </c>
      <c r="N18" s="9">
        <v>4670</v>
      </c>
      <c r="O18" s="9">
        <v>5204</v>
      </c>
      <c r="P18" s="9">
        <v>9814</v>
      </c>
      <c r="Q18" s="9">
        <v>9848</v>
      </c>
      <c r="R18" s="9">
        <v>3217</v>
      </c>
      <c r="S18" s="9">
        <v>10760</v>
      </c>
      <c r="T18" s="9">
        <v>12569</v>
      </c>
      <c r="U18" s="9">
        <v>17040</v>
      </c>
      <c r="V18" s="9">
        <v>18206</v>
      </c>
    </row>
    <row r="19" spans="1:22" ht="12.75">
      <c r="A19" s="18" t="s">
        <v>316</v>
      </c>
      <c r="B19" s="14" t="s">
        <v>242</v>
      </c>
      <c r="C19" s="14" t="s">
        <v>242</v>
      </c>
      <c r="D19" s="14" t="s">
        <v>242</v>
      </c>
      <c r="E19" s="14" t="s">
        <v>242</v>
      </c>
      <c r="F19" s="14" t="s">
        <v>242</v>
      </c>
      <c r="G19" s="14" t="s">
        <v>242</v>
      </c>
      <c r="H19" s="14" t="s">
        <v>242</v>
      </c>
      <c r="I19" s="14" t="s">
        <v>242</v>
      </c>
      <c r="J19" s="14" t="s">
        <v>242</v>
      </c>
      <c r="K19" s="14" t="s">
        <v>242</v>
      </c>
      <c r="L19" s="14" t="s">
        <v>242</v>
      </c>
      <c r="M19" s="9">
        <v>89</v>
      </c>
      <c r="N19" s="9">
        <v>74</v>
      </c>
      <c r="O19" s="9">
        <v>121</v>
      </c>
      <c r="P19" s="9">
        <v>163</v>
      </c>
      <c r="Q19" s="14" t="s">
        <v>242</v>
      </c>
      <c r="R19" s="14" t="s">
        <v>242</v>
      </c>
      <c r="S19" s="14" t="s">
        <v>242</v>
      </c>
      <c r="T19" s="14" t="s">
        <v>242</v>
      </c>
      <c r="U19" s="14" t="s">
        <v>242</v>
      </c>
      <c r="V19" s="14" t="s">
        <v>242</v>
      </c>
    </row>
    <row r="20" spans="1:22" ht="12.75">
      <c r="A20" s="18" t="s">
        <v>232</v>
      </c>
      <c r="B20" s="14" t="s">
        <v>242</v>
      </c>
      <c r="C20" s="14" t="s">
        <v>242</v>
      </c>
      <c r="D20" s="14" t="s">
        <v>242</v>
      </c>
      <c r="E20" s="14" t="s">
        <v>242</v>
      </c>
      <c r="F20" s="14" t="s">
        <v>242</v>
      </c>
      <c r="G20" s="14" t="s">
        <v>242</v>
      </c>
      <c r="H20" s="14" t="s">
        <v>242</v>
      </c>
      <c r="I20" s="14" t="s">
        <v>242</v>
      </c>
      <c r="J20" s="14" t="s">
        <v>242</v>
      </c>
      <c r="K20" s="14" t="s">
        <v>242</v>
      </c>
      <c r="L20" s="9">
        <v>5865</v>
      </c>
      <c r="M20" s="9">
        <v>5849</v>
      </c>
      <c r="N20" s="9">
        <v>6599</v>
      </c>
      <c r="O20" s="9">
        <v>6723</v>
      </c>
      <c r="P20" s="9">
        <v>5896</v>
      </c>
      <c r="Q20" s="9">
        <v>4784</v>
      </c>
      <c r="R20" s="9">
        <v>1089</v>
      </c>
      <c r="S20" s="9">
        <v>685</v>
      </c>
      <c r="T20" s="9">
        <v>580</v>
      </c>
      <c r="U20" s="9">
        <v>362</v>
      </c>
      <c r="V20" s="9">
        <v>282</v>
      </c>
    </row>
    <row r="24" spans="1:22" ht="12.75">
      <c r="A24" s="92" t="s">
        <v>339</v>
      </c>
      <c r="C24" s="9">
        <f>C27-SUM(C3:C5)</f>
        <v>0</v>
      </c>
      <c r="D24" s="9">
        <f>D27-SUM(D3:D5)</f>
        <v>1</v>
      </c>
      <c r="E24" s="9">
        <f>E27-SUM(E3:E5)</f>
        <v>0</v>
      </c>
      <c r="F24" s="9">
        <f>F27-SUM(F3:F5)</f>
        <v>0</v>
      </c>
      <c r="G24" s="9"/>
      <c r="H24" s="9"/>
      <c r="I24" s="9">
        <f aca="true" t="shared" si="0" ref="I24:Q24">I27-SUM(I3:I5)</f>
        <v>0</v>
      </c>
      <c r="J24" s="9">
        <f t="shared" si="0"/>
        <v>0</v>
      </c>
      <c r="K24" s="9">
        <f t="shared" si="0"/>
        <v>0</v>
      </c>
      <c r="L24" s="9">
        <f t="shared" si="0"/>
        <v>0</v>
      </c>
      <c r="M24" s="9">
        <f t="shared" si="0"/>
        <v>1</v>
      </c>
      <c r="N24" s="9">
        <f t="shared" si="0"/>
        <v>0</v>
      </c>
      <c r="O24" s="9">
        <f t="shared" si="0"/>
        <v>0</v>
      </c>
      <c r="P24" s="9">
        <f t="shared" si="0"/>
        <v>0</v>
      </c>
      <c r="Q24" s="9">
        <f t="shared" si="0"/>
        <v>0</v>
      </c>
      <c r="R24" s="9">
        <f>R28-SUM(R3:R5)</f>
        <v>0</v>
      </c>
      <c r="S24" s="9">
        <f>S28-SUM(S3:S5)</f>
        <v>-1</v>
      </c>
      <c r="T24" s="9">
        <f>T28-SUM(T3:T5)</f>
        <v>0</v>
      </c>
      <c r="U24" s="9">
        <f>U28-SUM(U3:U5)</f>
        <v>-1</v>
      </c>
      <c r="V24" s="9">
        <f>V28-SUM(V3:V5)</f>
        <v>0</v>
      </c>
    </row>
    <row r="25" spans="1:22" ht="12.75">
      <c r="A25" t="s">
        <v>385</v>
      </c>
      <c r="L25" s="9">
        <f aca="true" t="shared" si="1" ref="L25:Q25">L27-SUM(L8:L14)</f>
        <v>0</v>
      </c>
      <c r="M25" s="9">
        <f t="shared" si="1"/>
        <v>0</v>
      </c>
      <c r="N25" s="9">
        <f t="shared" si="1"/>
        <v>1</v>
      </c>
      <c r="O25" s="9">
        <f t="shared" si="1"/>
        <v>1</v>
      </c>
      <c r="P25" s="9">
        <f t="shared" si="1"/>
        <v>0</v>
      </c>
      <c r="Q25" s="9">
        <f t="shared" si="1"/>
        <v>1</v>
      </c>
      <c r="R25" s="9">
        <f>R28-SUM(R8:R14)</f>
        <v>1</v>
      </c>
      <c r="S25" s="9">
        <f>S28-SUM(S8:S14)</f>
        <v>-2</v>
      </c>
      <c r="T25" s="9">
        <f>T28-SUM(T8:T14)</f>
        <v>-1</v>
      </c>
      <c r="U25" s="9">
        <f>U28-SUM(U8:U14)</f>
        <v>-1</v>
      </c>
      <c r="V25" s="9">
        <f>V28-SUM(V8:V14)</f>
        <v>0</v>
      </c>
    </row>
    <row r="27" spans="1:41" ht="12.75">
      <c r="A27" s="92" t="s">
        <v>269</v>
      </c>
      <c r="B27" s="9">
        <v>21695</v>
      </c>
      <c r="C27" s="9">
        <v>22959</v>
      </c>
      <c r="D27" s="9">
        <v>23501</v>
      </c>
      <c r="E27" s="9">
        <v>24089</v>
      </c>
      <c r="F27" s="9">
        <v>24889</v>
      </c>
      <c r="G27" s="9">
        <v>25589</v>
      </c>
      <c r="H27" s="9">
        <v>26446</v>
      </c>
      <c r="I27" s="9">
        <v>27079</v>
      </c>
      <c r="J27" s="9">
        <v>27917</v>
      </c>
      <c r="K27" s="9">
        <v>27758</v>
      </c>
      <c r="L27" s="9">
        <v>32195</v>
      </c>
      <c r="M27" s="9">
        <v>33067</v>
      </c>
      <c r="N27" s="9">
        <v>34487</v>
      </c>
      <c r="O27" s="9">
        <v>35342</v>
      </c>
      <c r="P27" s="9">
        <v>37183</v>
      </c>
      <c r="Q27" s="9">
        <v>39026</v>
      </c>
      <c r="R27" s="9"/>
      <c r="S27" s="9"/>
      <c r="T27" s="9"/>
      <c r="U27" s="9"/>
      <c r="V27" s="9"/>
      <c r="AO27" s="9"/>
    </row>
    <row r="28" spans="1:41" ht="12.75">
      <c r="A28" s="18" t="s">
        <v>228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35855</v>
      </c>
      <c r="S28" s="9">
        <v>38883</v>
      </c>
      <c r="T28" s="9">
        <v>43378</v>
      </c>
      <c r="U28" s="9">
        <v>43678</v>
      </c>
      <c r="V28" s="9">
        <v>46079</v>
      </c>
      <c r="AO28" s="9"/>
    </row>
    <row r="29" spans="1:41" ht="12.75">
      <c r="A29" s="1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AO29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Frederick J. Eggers</dc:creator>
  <cp:keywords/>
  <dc:description/>
  <cp:lastModifiedBy>Dav Vandenbroucke</cp:lastModifiedBy>
  <cp:lastPrinted>2007-02-16T22:24:42Z</cp:lastPrinted>
  <dcterms:created xsi:type="dcterms:W3CDTF">2007-01-23T16:27:00Z</dcterms:created>
  <dcterms:modified xsi:type="dcterms:W3CDTF">2007-10-11T15:34:03Z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-753777775</vt:i4>
  </property>
  <property fmtid="{D5CDD505-2E9C-101B-9397-08002B2CF9AE}" pid="4" name="_NewReviewCyc">
    <vt:lpwstr/>
  </property>
  <property fmtid="{D5CDD505-2E9C-101B-9397-08002B2CF9AE}" pid="5" name="_EmailSubje">
    <vt:lpwstr>AHS Report Updates</vt:lpwstr>
  </property>
  <property fmtid="{D5CDD505-2E9C-101B-9397-08002B2CF9AE}" pid="6" name="_AuthorEma">
    <vt:lpwstr>David.A.Vandenbroucke@hud.gov</vt:lpwstr>
  </property>
  <property fmtid="{D5CDD505-2E9C-101B-9397-08002B2CF9AE}" pid="7" name="_AuthorEmailDisplayNa">
    <vt:lpwstr>Vandenbroucke, David A</vt:lpwstr>
  </property>
</Properties>
</file>